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w3WDGf90HJKmS3f3kokFzqojMjnct+DUiRATFEKUEiArhx0BqD08HB47kW8KYD3iK0HKAsjW3BJVM3jSe+jRIQ==" workbookSaltValue="88sknD1TxTUqZUjEZbCa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T31" i="8"/>
  <c r="R8" i="9"/>
  <c r="AP17" i="20" s="1"/>
  <c r="R13" i="17"/>
  <c r="P13" i="14"/>
  <c r="BG17" i="13"/>
  <c r="X12" i="21"/>
  <c r="BH9" i="16"/>
  <c r="V16" i="11"/>
  <c r="BF13" i="11"/>
  <c r="BG25" i="11"/>
  <c r="BH16" i="16"/>
  <c r="Q18" i="20"/>
  <c r="Q23" i="20" s="1"/>
  <c r="BF28" i="11"/>
  <c r="BF18"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16" i="12"/>
  <c r="BF23" i="13"/>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25" i="11"/>
  <c r="BF21" i="11"/>
  <c r="V11" i="16"/>
  <c r="BM17" i="11"/>
  <c r="BG10" i="11"/>
  <c r="BJ18" i="11"/>
  <c r="BJ22" i="11"/>
  <c r="BL19" i="11"/>
  <c r="AZ18" i="11"/>
  <c r="BH20" i="16"/>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G20" i="11"/>
  <c r="BG22" i="11"/>
  <c r="BK29" i="11"/>
  <c r="AZ19" i="11"/>
  <c r="V12" i="21"/>
  <c r="BK11" i="11"/>
  <c r="AP10" i="21"/>
  <c r="AP21" i="20"/>
  <c r="BJ11" i="11"/>
  <c r="BH22" i="16"/>
  <c r="R10" i="21"/>
  <c r="BL13" i="11"/>
  <c r="BW25" i="20"/>
  <c r="AZ17" i="11"/>
  <c r="BH11" i="11"/>
  <c r="S18" i="17"/>
  <c r="BK22" i="11"/>
  <c r="X12" i="17"/>
  <c r="X22" i="16"/>
  <c r="X10" i="21"/>
  <c r="BJ20" i="11"/>
  <c r="BH13" i="11"/>
  <c r="BH18" i="11"/>
  <c r="AO28" i="17"/>
  <c r="AZ16" i="11"/>
  <c r="AZ23" i="11" s="1"/>
  <c r="AZ26" i="11" s="1"/>
  <c r="BW19" i="20"/>
  <c r="BU10" i="17"/>
  <c r="BU33" i="17" s="1"/>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G16" i="11"/>
  <c r="BM16" i="11"/>
  <c r="BJ25" i="11"/>
  <c r="BU16" i="17"/>
  <c r="X20" i="16"/>
  <c r="U13" i="17"/>
  <c r="BW29" i="20"/>
  <c r="BV29" i="16"/>
  <c r="BV9" i="16"/>
  <c r="BG12" i="11"/>
  <c r="BI20" i="11"/>
  <c r="BI9" i="11"/>
  <c r="BL28" i="11"/>
  <c r="BL10" i="11"/>
  <c r="BH10" i="16"/>
  <c r="BM9" i="11"/>
  <c r="BH12" i="16"/>
  <c r="L12" i="2"/>
  <c r="L20" i="2"/>
  <c r="V10" i="16"/>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E31" i="2"/>
  <c r="AA31"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<sst xmlns="http://schemas.openxmlformats.org/spreadsheetml/2006/main" count="2682" uniqueCount="1193">
  <si>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</si>
  <si>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</si>
  <si>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</si>
  <si>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</si>
  <si>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</si>
  <si>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</si>
  <si>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</si>
  <si>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</si>
  <si>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</si>
  <si>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</si>
  <si>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</si>
  <si>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</si>
  <si>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</si>
  <si>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</si>
  <si>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</si>
  <si>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</si>
  <si>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</si>
  <si>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</si>
  <si>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</si>
  <si>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</si>
  <si>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</si>
  <si>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</si>
  <si>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</si>
  <si>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</si>
  <si>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</si>
  <si>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</si>
  <si>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</si>
  <si>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</si>
  <si>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</si>
  <si>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</si>
  <si>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</si>
  <si>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</si>
  <si>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</si>
  <si>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</si>
  <si>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</si>
  <si>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</si>
  <si>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</si>
  <si>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</si>
  <si>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</si>
  <si>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</si>
  <si>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</si>
  <si>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</si>
  <si>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</si>
  <si>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</si>
  <si>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</si>
  <si>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</si>
  <si>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</si>
  <si>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</si>
  <si>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</si>
  <si>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</si>
  <si>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</si>
  <si>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</si>
  <si>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</si>
  <si>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</si>
  <si>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</si>
  <si>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</si>
  <si>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</si>
  <si>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</si>
  <si>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</si>
  <si>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</si>
  <si>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</si>
  <si>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</si>
  <si>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</si>
  <si>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</si>
  <si>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</si>
  <si>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</si>
  <si>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</si>
  <si>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</si>
  <si>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</si>
  <si>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</si>
  <si>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</si>
  <si>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</si>
  <si>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</si>
  <si>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</si>
  <si>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</si>
  <si>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</si>
  <si>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</si>
  <si>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</si>
  <si>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</si>
  <si>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</si>
  <si>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</si>
  <si>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</si>
  <si>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</si>
  <si>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</si>
  <si>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</si>
  <si>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</si>
  <si>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</si>
  <si>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</si>
  <si>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</si>
  <si>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</si>
  <si>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</si>
  <si>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</si>
  <si>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</si>
  <si>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</si>
  <si>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</si>
  <si>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</si>
  <si>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</si>
  <si>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</si>
  <si>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</si>
  <si>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</si>
  <si>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</si>
  <si>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</si>
  <si>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</si>
  <si>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</si>
  <si>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</si>
  <si>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</si>
  <si>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</si>
  <si>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</si>
  <si>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</si>
  <si>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</si>
  <si>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</si>
  <si>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</si>
  <si>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</si>
  <si>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</si>
  <si>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</si>
  <si>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</si>
  <si>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</si>
  <si>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</si>
  <si>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</si>
  <si>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</si>
  <si>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</si>
  <si>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</si>
  <si>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</si>
  <si>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</si>
  <si>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</si>
  <si>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</si>
  <si>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</si>
  <si>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</si>
  <si>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</si>
  <si>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</si>
  <si>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</si>
  <si>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</si>
  <si>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</si>
  <si>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</si>
  <si>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</si>
  <si>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</si>
  <si>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</si>
  <si>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</si>
  <si>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</si>
  <si>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</si>
  <si>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</si>
  <si>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</si>
  <si>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</si>
  <si>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</si>
  <si>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</si>
  <si>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</si>
  <si>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</si>
  <si>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</si>
  <si>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</si>
  <si>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</si>
  <si>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</si>
  <si>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</si>
  <si>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</si>
  <si>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</si>
  <si>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</si>
  <si>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</si>
  <si>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</si>
  <si>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</si>
  <si>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</si>
  <si>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</si>
  <si>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</si>
  <si>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</si>
  <si>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</si>
  <si>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</si>
  <si>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</si>
  <si>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</si>
  <si>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</si>
  <si>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</si>
  <si>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</si>
  <si>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</si>
  <si>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</si>
  <si>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</si>
  <si>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</si>
  <si>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</si>
  <si>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</si>
  <si>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</si>
  <si>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</si>
  <si>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</si>
  <si>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</si>
  <si>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</si>
  <si>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</si>
  <si>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</si>
  <si>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</si>
  <si>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</si>
  <si>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</si>
  <si>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</si>
  <si>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</si>
  <si>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</si>
  <si>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</si>
  <si>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</si>
  <si>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</si>
  <si>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</si>
  <si>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</si>
  <si>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</si>
  <si>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</si>
  <si>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</si>
  <si>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</si>
  <si>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</si>
  <si>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</si>
  <si>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</si>
  <si>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</si>
  <si>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</si>
  <si>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</si>
  <si>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</si>
  <si>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</si>
  <si>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</si>
  <si>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</si>
  <si>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</si>
  <si>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</si>
  <si>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</si>
  <si>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</si>
  <si>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</si>
  <si>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</si>
  <si>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</si>
  <si>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</si>
  <si>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</si>
  <si>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</si>
  <si>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</si>
  <si>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</si>
  <si>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</si>
  <si>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</si>
  <si>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</si>
  <si>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</si>
  <si>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</si>
  <si>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</si>
  <si>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</si>
  <si>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</si>
  <si>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</si>
  <si>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</si>
  <si>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</si>
  <si>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</si>
  <si>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</si>
  <si>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</si>
  <si>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</si>
  <si>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</si>
  <si>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</si>
  <si>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</si>
  <si>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</si>
  <si>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</si>
  <si>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</si>
  <si>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</si>
  <si>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</si>
  <si>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</si>
  <si>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</si>
  <si>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</si>
  <si>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</si>
  <si>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</si>
  <si>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</si>
  <si>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</si>
  <si>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</si>
  <si>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</si>
  <si>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</si>
  <si>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</si>
  <si>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</si>
  <si>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</si>
  <si>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</si>
  <si>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</si>
  <si>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</si>
  <si>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</si>
  <si>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</si>
  <si>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</si>
  <si>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</si>
  <si>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</si>
  <si>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</si>
  <si>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</si>
  <si>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</si>
  <si>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</si>
  <si>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</si>
  <si>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</si>
  <si>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</si>
  <si>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</si>
  <si>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</si>
  <si>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</si>
  <si>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</si>
  <si>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</si>
  <si>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</si>
  <si>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</si>
  <si>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</si>
  <si>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</si>
  <si>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</si>
  <si>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</si>
  <si>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</si>
  <si>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</si>
  <si>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</si>
  <si>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</si>
  <si>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</si>
  <si>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</si>
  <si>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</si>
  <si>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</si>
  <si>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</si>
  <si>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</si>
  <si>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</si>
  <si>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</si>
  <si>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</si>
  <si>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</si>
  <si>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</si>
  <si>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</si>
  <si>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</si>
  <si>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</si>
  <si>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</si>
  <si>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</si>
  <si>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</si>
  <si>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</si>
  <si>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</si>
  <si>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</si>
  <si>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</si>
  <si>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</si>
  <si>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</si>
  <si>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</si>
  <si>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</si>
  <si>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</si>
  <si>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</si>
  <si>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</si>
  <si>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</si>
  <si>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</si>
  <si>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</si>
  <si>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</si>
  <si>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</si>
  <si>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</si>
  <si>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</si>
  <si>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</si>
  <si>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</si>
  <si>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</si>
  <si>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</si>
  <si>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</si>
  <si>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</si>
  <si>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</si>
  <si>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</si>
  <si>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</si>
  <si>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</si>
  <si>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</si>
  <si>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</si>
  <si>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</si>
  <si>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</si>
  <si>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</si>
  <si>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</si>
  <si>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</si>
  <si>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</si>
  <si>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</si>
  <si>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</si>
  <si>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</si>
  <si>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</si>
  <si>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</si>
  <si>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</si>
  <si>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</si>
  <si>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</si>
  <si>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</si>
  <si>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</si>
  <si>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</si>
  <si>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</si>
  <si>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</si>
  <si>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</si>
  <si>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</si>
  <si>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</si>
  <si>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</si>
  <si>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</si>
  <si>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</si>
  <si>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</si>
  <si>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</si>
  <si>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</si>
  <si>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</si>
  <si>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</si>
  <si>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</si>
  <si>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</si>
  <si>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</si>
  <si>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</si>
  <si>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</si>
  <si>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</si>
  <si>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</si>
  <si>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</si>
  <si>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</si>
  <si>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</si>
  <si>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</si>
  <si>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</si>
  <si>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</si>
  <si>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</si>
  <si>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</si>
  <si>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</si>
  <si>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</si>
  <si>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</si>
  <si>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</si>
  <si>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</si>
  <si>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</si>
  <si>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</si>
  <si>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</si>
  <si>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</si>
  <si>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</si>
  <si>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</si>
  <si>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</si>
  <si>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</si>
  <si>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</si>
  <si>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</si>
  <si>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</si>
  <si>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</si>
  <si>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</si>
  <si>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</si>
  <si>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</si>
  <si>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</si>
  <si>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</si>
  <si>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</si>
  <si>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</si>
  <si>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</si>
  <si>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</si>
  <si>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</si>
  <si>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</si>
  <si>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</si>
  <si>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</si>
  <si>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</si>
  <si>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</si>
  <si>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</si>
  <si>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</si>
  <si>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</si>
  <si>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</si>
  <si>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</si>
  <si>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</si>
  <si>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</si>
  <si>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</si>
  <si>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</si>
  <si>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</si>
  <si>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</si>
  <si>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</si>
  <si>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</si>
  <si>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</si>
  <si>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</si>
  <si>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</si>
  <si>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</si>
  <si>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</si>
  <si>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</si>
  <si>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</si>
  <si>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</si>
  <si>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</si>
  <si>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</si>
  <si>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</si>
  <si>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</si>
  <si>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</si>
  <si>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</si>
  <si>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</si>
  <si>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</si>
  <si>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</si>
  <si>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</si>
  <si>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</si>
  <si>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</si>
  <si>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</si>
  <si>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</si>
  <si>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</si>
  <si>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</si>
  <si>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</si>
  <si>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</si>
  <si>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</si>
  <si>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</si>
  <si>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</si>
  <si>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</si>
  <si>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</si>
  <si>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</si>
  <si>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</si>
  <si>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</si>
  <si>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</si>
  <si>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</si>
  <si>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</si>
  <si>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</si>
  <si>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</si>
  <si>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</si>
  <si>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</si>
  <si>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</si>
  <si>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</si>
  <si>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</si>
  <si>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</si>
  <si>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</si>
  <si>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</si>
  <si>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</si>
  <si>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</si>
  <si>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</si>
  <si>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</si>
  <si>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</si>
  <si>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</si>
  <si>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</si>
  <si>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</si>
  <si>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</si>
  <si>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</si>
  <si>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</si>
  <si>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</si>
  <si>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</si>
  <si>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</si>
  <si>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</si>
  <si>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</si>
  <si>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</si>
  <si>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</si>
  <si>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</si>
  <si>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</si>
  <si>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</si>
  <si>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</si>
  <si>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</si>
  <si>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</si>
  <si>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</si>
  <si>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</si>
  <si>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</si>
  <si>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</si>
  <si>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</si>
  <si>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</si>
  <si>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</si>
  <si>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</si>
  <si>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</si>
  <si>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</si>
  <si>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</si>
  <si>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</si>
  <si>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</si>
  <si>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</si>
  <si>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</si>
  <si>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</si>
  <si>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</si>
  <si>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</si>
  <si>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</si>
  <si>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</si>
  <si>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</si>
  <si>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</si>
  <si>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</si>
  <si>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</si>
  <si>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</si>
  <si>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</si>
  <si>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</si>
  <si>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</si>
  <si>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</si>
  <si>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</si>
  <si>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</si>
  <si>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</si>
  <si>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</si>
  <si>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</si>
  <si>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</si>
  <si>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</si>
  <si>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</si>
  <si>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</si>
  <si>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</si>
  <si>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</si>
  <si>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</si>
  <si>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</si>
  <si>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</si>
  <si>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</si>
  <si>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</si>
  <si>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</si>
  <si>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</si>
  <si>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</si>
  <si>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</si>
  <si>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</si>
  <si>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</si>
  <si>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</si>
  <si>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</si>
  <si>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</si>
  <si>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</si>
  <si>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</si>
  <si>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</si>
  <si>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</si>
  <si>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</si>
  <si>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</si>
  <si>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</si>
  <si>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</si>
  <si>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</si>
  <si>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</si>
  <si>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</si>
  <si>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</si>
  <si>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</si>
  <si>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</si>
  <si>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</si>
  <si>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</si>
  <si>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</si>
  <si>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</si>
  <si>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</si>
  <si>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</si>
  <si>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</si>
  <si>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</si>
  <si>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</si>
  <si>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</si>
  <si>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</si>
  <si>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</si>
  <si>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</si>
  <si>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</si>
  <si>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</si>
  <si>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</si>
  <si>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</si>
  <si>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</si>
  <si>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</si>
  <si>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</si>
  <si>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</si>
  <si>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</si>
  <si>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</si>
  <si>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</si>
  <si>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</si>
  <si>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</si>
  <si>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</si>
  <si>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</si>
  <si>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</si>
  <si>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</si>
  <si>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</si>
  <si>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</si>
  <si>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</si>
  <si>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</si>
  <si>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</si>
  <si>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</si>
  <si>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</si>
  <si>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</si>
  <si>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</si>
  <si>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</si>
  <si>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</si>
  <si>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</si>
  <si>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</si>
  <si>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</si>
  <si>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</si>
  <si>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</si>
  <si>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</si>
  <si>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</si>
  <si>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</si>
  <si>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</si>
  <si>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</si>
  <si>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</si>
  <si>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</si>
  <si>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</si>
  <si>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</si>
  <si>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</si>
  <si>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</si>
  <si>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</si>
  <si>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</si>
  <si>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</si>
  <si>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</si>
  <si>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</si>
  <si>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</si>
  <si>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</si>
  <si>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</si>
  <si>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</si>
  <si>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</si>
  <si>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</si>
  <si>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</si>
  <si>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</si>
  <si>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</si>
  <si>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</si>
  <si>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</si>
  <si>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</si>
  <si>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</si>
  <si>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</si>
  <si>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</si>
  <si>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</si>
  <si>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</si>
  <si>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</si>
  <si>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</si>
  <si>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</si>
  <si>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</si>
  <si>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</si>
  <si>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</si>
  <si>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</si>
  <si>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</si>
  <si>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</si>
  <si>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</si>
  <si>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</si>
  <si>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</si>
  <si>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</si>
  <si>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</si>
  <si>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</si>
  <si>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</si>
  <si>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</si>
  <si>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</si>
  <si>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</si>
  <si>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</si>
  <si>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</si>
  <si>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</si>
  <si>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</si>
  <si>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</si>
  <si>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</si>
  <si>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</si>
  <si>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</si>
  <si>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</si>
  <si>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</si>
  <si>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</si>
  <si>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</si>
  <si>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</si>
  <si>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</si>
  <si>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</si>
  <si>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</si>
  <si>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</si>
  <si>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</si>
  <si>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</si>
  <si>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</si>
  <si>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</si>
  <si>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</si>
  <si>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</si>
  <si>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</si>
  <si>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</si>
  <si>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</si>
  <si>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</si>
  <si>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</si>
  <si>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</si>
  <si>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</si>
  <si>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</si>
  <si>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</si>
  <si>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</si>
  <si>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</si>
  <si>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</si>
  <si>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</si>
  <si>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</si>
  <si>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</si>
  <si>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</si>
  <si>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</si>
  <si>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</si>
  <si>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</si>
  <si>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</si>
  <si>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</si>
  <si>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</si>
  <si>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</si>
  <si>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</si>
  <si>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</si>
  <si>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</si>
  <si>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</si>
  <si>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</si>
  <si>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</si>
  <si>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</si>
  <si>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</si>
  <si>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</si>
  <si>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</si>
  <si>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</si>
  <si>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</si>
  <si>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</si>
  <si>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</si>
  <si>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</si>
  <si>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</si>
  <si>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</si>
  <si>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</si>
  <si>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</si>
  <si>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</si>
  <si>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</si>
  <si>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</si>
  <si>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</si>
  <si>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</si>
  <si>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</si>
  <si>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</si>
  <si>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</si>
  <si>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</si>
  <si>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</si>
  <si>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</si>
  <si>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</si>
  <si>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</si>
  <si>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</si>
  <si>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</si>
  <si>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</si>
  <si>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</si>
  <si>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</si>
  <si>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</si>
  <si>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</si>
  <si>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</si>
  <si>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</si>
  <si>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</si>
  <si>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</si>
  <si>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</si>
  <si>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</si>
  <si>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</si>
  <si>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</si>
  <si>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</si>
  <si>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</si>
  <si>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</si>
  <si>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</si>
  <si>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</si>
  <si>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</si>
  <si>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</si>
  <si>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</si>
  <si>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</si>
  <si>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</si>
  <si>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</si>
  <si>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</si>
  <si>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</si>
  <si>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</si>
  <si>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</si>
  <si>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</si>
  <si>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</si>
  <si>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</si>
  <si>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</si>
  <si>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</si>
  <si>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</si>
  <si>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</si>
  <si>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</si>
  <si>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</si>
  <si>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</si>
  <si>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</si>
  <si>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</si>
  <si>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</si>
  <si>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</si>
  <si>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</si>
  <si>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</si>
  <si>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</si>
  <si>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</si>
  <si>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</si>
  <si>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</si>
  <si>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</si>
  <si>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</si>
  <si>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</si>
  <si>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</si>
  <si>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</si>
  <si>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</si>
  <si>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</si>
  <si>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</si>
  <si>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</si>
  <si>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</si>
  <si>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</si>
  <si>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</si>
  <si>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</si>
  <si>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</si>
  <si>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</si>
  <si>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</si>
  <si>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</si>
  <si>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</si>
  <si>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</si>
  <si>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</si>
  <si>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</si>
  <si>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</si>
  <si>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</si>
  <si>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</si>
  <si>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</si>
  <si>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</si>
  <si>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</si>
  <si>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</si>
  <si>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</si>
  <si>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</si>
  <si>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</si>
  <si>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</si>
  <si>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</si>
  <si>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</si>
  <si>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</si>
  <si>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</si>
  <si>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</si>
  <si>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</si>
  <si>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</si>
  <si>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</si>
  <si>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</si>
  <si>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</si>
  <si>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</si>
  <si>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</si>
  <si>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</si>
  <si>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</si>
  <si>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</si>
  <si>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</si>
  <si>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</si>
  <si>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</si>
  <si>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</si>
  <si>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</si>
  <si>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</si>
  <si>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</si>
  <si>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</si>
  <si>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</si>
  <si>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</si>
  <si>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</si>
  <si>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</si>
  <si>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</si>
  <si>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</si>
  <si>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</si>
  <si>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</si>
  <si>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</si>
  <si>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</si>
  <si>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</si>
  <si>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</si>
  <si>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</si>
  <si>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</si>
  <si>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</si>
  <si>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</si>
  <si>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</si>
  <si>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</si>
  <si>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</si>
  <si>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</si>
  <si>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</si>
  <si>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</si>
  <si>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</si>
  <si>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</si>
  <si>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</si>
  <si>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</si>
  <si>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</si>
  <si>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</si>
  <si>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</si>
  <si>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</si>
  <si>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</si>
  <si>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</si>
  <si>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</si>
  <si>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</si>
  <si>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</si>
  <si>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</si>
  <si>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</si>
  <si>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</si>
  <si>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</si>
  <si>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</si>
  <si>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</si>
  <si>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</si>
  <si>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</si>
  <si>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</si>
  <si>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</si>
  <si>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</si>
  <si>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</si>
  <si>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</si>
  <si>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</si>
  <si>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</si>
  <si>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</si>
  <si>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</si>
  <si>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</si>
  <si>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</si>
  <si>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</si>
  <si>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</si>
  <si>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</si>
  <si>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</si>
  <si>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</si>
  <si>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</si>
  <si>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</si>
  <si>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</si>
  <si>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</si>
  <si>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</si>
  <si>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</si>
  <si>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</si>
  <si>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</si>
  <si>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</si>
  <si>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</si>
  <si>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</si>
  <si>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</si>
  <si>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</si>
  <si>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</si>
  <si>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</si>
  <si>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</si>
  <si>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</si>
  <si>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</si>
  <si>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</si>
  <si>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</si>
  <si>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</si>
  <si>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</si>
  <si>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</si>
  <si>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</si>
  <si>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</si>
  <si>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</si>
  <si>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</si>
  <si>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</si>
  <si>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</si>
  <si>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</si>
  <si>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</si>
  <si>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</si>
  <si>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</si>
  <si>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</si>
  <si>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</si>
  <si>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</si>
  <si>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</si>
  <si>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</si>
  <si>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</si>
  <si>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</si>
  <si>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</si>
  <si>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</si>
  <si>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</si>
  <si>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</si>
  <si>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</si>
  <si>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</si>
  <si>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</si>
  <si>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</si>
  <si>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</si>
  <si>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</si>
  <si>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</si>
  <si>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</si>
  <si>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</si>
  <si>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</si>
  <si>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</si>
  <si>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</si>
  <si>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</si>
  <si>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</si>
  <si>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</si>
  <si>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</si>
  <si>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</si>
  <si>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</si>
  <si>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</si>
  <si>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</si>
  <si>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</si>
  <si>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</si>
  <si>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</si>
  <si>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</si>
  <si>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</si>
  <si>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</si>
  <si>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</si>
  <si>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</si>
  <si>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</si>
  <si>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</si>
  <si>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</si>
  <si>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</si>
  <si>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</si>
  <si>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</si>
  <si>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</si>
  <si>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</si>
  <si>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</si>
  <si>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</si>
  <si>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</si>
  <si>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</si>
  <si>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</si>
  <si>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</si>
  <si>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</si>
  <si>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</si>
  <si>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</si>
  <si>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</si>
  <si>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</si>
  <si>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</si>
  <si>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</si>
  <si>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</si>
  <si>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</si>
  <si>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</si>
  <si>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</si>
  <si>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</si>
  <si>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</si>
  <si>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</si>
  <si>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</si>
  <si>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</si>
  <si>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</si>
  <si>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</si>
  <si>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</si>
  <si>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</si>
  <si>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</si>
  <si>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</si>
  <si>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</si>
  <si>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</si>
  <si>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</si>
  <si>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</si>
  <si>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</si>
  <si>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</si>
  <si>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</si>
  <si>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</si>
  <si>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</si>
  <si>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</si>
  <si>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</si>
  <si>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</si>
  <si>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</si>
  <si>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</si>
  <si>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</si>
  <si>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</si>
  <si>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</si>
  <si>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</si>
  <si>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</si>
  <si>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</si>
  <si>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</si>
  <si>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</si>
  <si>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</si>
  <si>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</si>
  <si>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</si>
  <si>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</si>
  <si>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</si>
  <si>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</si>
  <si>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</si>
  <si>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</si>
  <si>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</si>
  <si>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</si>
  <si>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</si>
  <si>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</si>
  <si>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</si>
  <si>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</si>
  <si>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</si>
  <si>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</si>
  <si>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</si>
  <si>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</si>
  <si>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</si>
  <si>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</si>
  <si>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</si>
  <si>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</si>
  <si>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</si>
  <si>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</si>
  <si>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</si>
  <si>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</si>
  <si>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</si>
  <si>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</si>
  <si>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</si>
  <si>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</si>
  <si>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</si>
  <si>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</si>
  <si>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</si>
  <si>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</si>
  <si>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</si>
  <si>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</si>
  <si>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</si>
  <si>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</si>
  <si>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</si>
  <si>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</si>
  <si>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</si>
  <si>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</si>
  <si>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</si>
  <si>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</si>
  <si>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</si>
  <si>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</si>
  <si>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</si>
  <si>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</si>
  <si>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</si>
  <si>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</si>
  <si>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</si>
  <si>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</si>
  <si>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</si>
  <si>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</si>
  <si>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</si>
  <si>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</si>
  <si>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</si>
  <si>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</si>
  <si>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</si>
  <si>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</si>
  <si>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</si>
  <si>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</si>
  <si>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</si>
  <si>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</si>
  <si>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</si>
  <si>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</si>
  <si>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</si>
  <si>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</si>
  <si>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</si>
  <si>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</si>
  <si>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</si>
  <si>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</si>
  <si>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</si>
  <si>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</si>
  <si>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</si>
  <si>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</si>
  <si>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</si>
  <si>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</si>
  <si>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</si>
  <si>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</si>
  <si>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</si>
  <si>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</si>
  <si>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</si>
  <si>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</si>
  <si>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</si>
  <si>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</si>
  <si>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</si>
  <si>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</si>
  <si>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</si>
  <si>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</si>
  <si>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</si>
  <si>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</si>
  <si>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</si>
  <si>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</si>
  <si>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</si>
  <si>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</si>
  <si>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</si>
  <si>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</si>
  <si>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</si>
  <si>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</si>
  <si>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</si>
  <si>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</si>
  <si>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</si>
  <si>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</si>
  <si>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</si>
  <si>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</si>
  <si>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</si>
  <si>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</si>
  <si>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</si>
  <si>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</si>
  <si>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</si>
  <si>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</si>
  <si>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</si>
  <si>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</si>
  <si>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</si>
  <si>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</si>
  <si>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</si>
  <si>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</si>
  <si>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</si>
  <si>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</si>
  <si>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</si>
  <si>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</si>
  <si>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</si>
  <si>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</si>
  <si>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</si>
  <si>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</si>
  <si>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</si>
  <si>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</si>
  <si>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</si>
  <si>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</si>
  <si>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</si>
  <si>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</si>
  <si>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</si>
  <si>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</si>
  <si>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</si>
  <si>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</si>
  <si>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</si>
  <si>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</si>
  <si>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</si>
  <si>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</si>
  <si>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</si>
  <si>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</si>
  <si>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</si>
  <si>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</si>
  <si>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</si>
  <si>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</si>
  <si>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</si>
  <si>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</si>
  <si>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</si>
  <si>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</si>
  <si>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</si>
  <si>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</si>
  <si>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</si>
  <si>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</si>
  <si>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</si>
  <si>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</si>
  <si>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</si>
  <si>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</si>
  <si>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</si>
  <si>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</si>
  <si>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</si>
  <si>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MAO-MAHON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</si>
</sst>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dRyop19U7bakl1aybGioLuhWmqe8nYoJ/gonljVxl2pNWHmDlf8IK0GprKng+RFtdATmtOmrl/+QMvp43z9wQ==" saltValue="7YXjxdqAvORwrUm99OEU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10</v>
      </c>
      <c r="F10" s="240">
        <f>IF(ISNUMBER(Datos!K10),Datos!K10," - ")</f>
        <v>7</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14.142857142857144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30.447795823665896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10</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545</v>
      </c>
      <c r="D17" s="239">
        <f>IF(ISNUMBER(IF(D_I="SI",Datos!I17,Datos!I17+Datos!AC17)),IF(D_I="SI",Datos!I17,Datos!I17+Datos!AC17)," - ")</f>
        <v>539</v>
      </c>
      <c r="E17" s="240">
        <f>IF(ISNUMBER(IF(D_I="SI",Datos!J17,Datos!J17+Datos!AD17)),IF(D_I="SI",Datos!J17,Datos!J17+Datos!AD17)," - ")</f>
        <v>412</v>
      </c>
      <c r="F17" s="240">
        <f>IF(ISNUMBER(IF(D_I="SI",Datos!K17,Datos!K17+Datos!AE17)),IF(D_I="SI",Datos!K17,Datos!K17+Datos!AE17)," - ")</f>
        <v>393</v>
      </c>
      <c r="G17" s="1390" t="str">
        <f>IF(Datos!E17&lt;&gt;"",Datos!E17,Datos!D17)</f>
        <v>04</v>
      </c>
      <c r="H17" s="241">
        <f>IF(ISNUMBER(IF(D_I="SI",Datos!L17,Datos!L17+Datos!AF17)),IF(D_I="SI",Datos!L17,Datos!L17+Datos!AF17)," - ")</f>
        <v>564</v>
      </c>
      <c r="I17" s="1400" t="str">
        <f>IF(ISNUMBER(Datos!AS17/Datos!BM17),Datos!AS17/Datos!BM17," - ")</f>
        <v xml:space="preserve"> - </v>
      </c>
      <c r="J17" s="1401">
        <f>IF(ISNUMBER(Datos!BY17/Datos!CN17),Datos!BY17/Datos!CN17," - ")</f>
        <v>0</v>
      </c>
      <c r="K17" s="244">
        <f t="shared" si="3"/>
        <v>3.4862385321100919E-2</v>
      </c>
      <c r="L17" s="1402">
        <f>IF(ISNUMBER(NºAsuntos!I17/NºAsuntos!G17),(NºAsuntos!I17/NºAsuntos!G17)*11," - ")</f>
        <v>15.786259541984732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43</v>
      </c>
      <c r="F18" s="240">
        <f>IF(ISNUMBER(IF(D_I="SI",Datos!K18,Datos!K18+Datos!AE18)),IF(D_I="SI",Datos!K18,Datos!K18+Datos!AE18)," - ")</f>
        <v>41</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5.5555555555555552E-2</v>
      </c>
      <c r="L18" s="1402">
        <f>IF(ISNUMBER(NºAsuntos!I18/NºAsuntos!G18),(NºAsuntos!I18/NºAsuntos!G18)*11," - ")</f>
        <v>10.195121951219512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581</v>
      </c>
      <c r="D23" s="1407">
        <f>SUBTOTAL(9,D16:D22)</f>
        <v>575</v>
      </c>
      <c r="E23" s="1408">
        <f>SUBTOTAL(9,E16:E22)</f>
        <v>455</v>
      </c>
      <c r="F23" s="1408">
        <f>SUBTOTAL(9,F16:F22)</f>
        <v>434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587</v>
      </c>
      <c r="D31" s="1435">
        <f>SUBTOTAL(9,D9:D30)</f>
        <v>581</v>
      </c>
      <c r="E31" s="1436">
        <f>SUBTOTAL(9,E9:E30)</f>
        <v>465</v>
      </c>
      <c r="F31" s="1436">
        <f>SUBTOTAL(9,F9:F30)</f>
        <v>441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B4LtT6IhJz8hm1Po2LbVpVI9Wh8Rn+So9wSIesbMZpUJFd7t6uWyuIKmidZtgdmJvCJ1Ry8jTs4Cd/dJSWd2w==" saltValue="/iLTSDGXnP129aEXZvST4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HoE6WV13uh4jSNNts51A1is9mmG+TL+KxCtyvw1RkTRMlBWDN1anZWo44nZ7WtnzUzAvUHpPUjzNVXOahEaA==" saltValue="5lQPLRD5dQC3pr+WcKPP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10</v>
      </c>
      <c r="K10" s="194">
        <v>7</v>
      </c>
      <c r="L10" s="194">
        <v>9</v>
      </c>
      <c r="M10" s="194">
        <v>6</v>
      </c>
      <c r="N10" s="194">
        <v>0</v>
      </c>
      <c r="O10" s="194">
        <v>0</v>
      </c>
      <c r="P10" s="194">
        <v>3</v>
      </c>
      <c r="Q10" s="194">
        <v>0</v>
      </c>
      <c r="R10" s="194">
        <v>3</v>
      </c>
      <c r="S10" s="194">
        <v>0</v>
      </c>
      <c r="T10" s="194">
        <v>9</v>
      </c>
      <c r="U10" s="194">
        <v>0</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9</v>
      </c>
      <c r="BA10" s="139">
        <f t="shared" si="0"/>
        <v>0</v>
      </c>
      <c r="BB10" s="139">
        <f t="shared" si="0"/>
        <v>9</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932</v>
      </c>
      <c r="J12" s="196">
        <v>495</v>
      </c>
      <c r="K12" s="196">
        <v>394</v>
      </c>
      <c r="L12" s="196">
        <v>1140</v>
      </c>
      <c r="M12" s="196">
        <v>117</v>
      </c>
      <c r="N12" s="196">
        <v>203</v>
      </c>
      <c r="O12" s="194">
        <v>164</v>
      </c>
      <c r="P12" s="196">
        <v>84</v>
      </c>
      <c r="Q12" s="196">
        <v>96</v>
      </c>
      <c r="R12" s="196">
        <v>1988</v>
      </c>
      <c r="S12" s="196">
        <v>659</v>
      </c>
      <c r="T12" s="196">
        <v>429</v>
      </c>
      <c r="U12" s="196">
        <v>431</v>
      </c>
      <c r="V12" s="196">
        <v>667</v>
      </c>
      <c r="W12" s="196">
        <v>136</v>
      </c>
      <c r="X12" s="202">
        <v>181</v>
      </c>
      <c r="Y12" s="204">
        <v>37</v>
      </c>
      <c r="Z12" s="194">
        <v>44</v>
      </c>
      <c r="AA12" s="194">
        <v>37</v>
      </c>
      <c r="AB12" s="194">
        <v>53</v>
      </c>
      <c r="AC12" s="196">
        <v>0</v>
      </c>
      <c r="AD12" s="196">
        <v>0</v>
      </c>
      <c r="AE12" s="196">
        <v>0</v>
      </c>
      <c r="AF12" s="202">
        <v>0</v>
      </c>
      <c r="AG12" s="215">
        <v>37</v>
      </c>
      <c r="AH12" s="196">
        <v>16</v>
      </c>
      <c r="AI12" s="196">
        <v>36</v>
      </c>
      <c r="AJ12" s="216">
        <v>18</v>
      </c>
      <c r="AK12" s="195">
        <v>0</v>
      </c>
      <c r="AL12" s="196">
        <v>0</v>
      </c>
      <c r="AM12" s="196">
        <v>0</v>
      </c>
      <c r="AN12" s="202">
        <v>0</v>
      </c>
      <c r="AO12" s="283">
        <v>3</v>
      </c>
      <c r="AP12" s="168">
        <v>3</v>
      </c>
      <c r="AQ12" s="168">
        <v>3</v>
      </c>
      <c r="AR12" s="167">
        <v>3</v>
      </c>
      <c r="AS12" s="381" t="s">
        <v>1075</v>
      </c>
      <c r="AT12" s="216"/>
      <c r="AU12" s="215"/>
      <c r="AV12" s="216"/>
      <c r="AW12" s="215"/>
      <c r="AX12" s="216"/>
      <c r="AY12" s="136">
        <f t="shared" si="1"/>
        <v>696</v>
      </c>
      <c r="AZ12" s="137">
        <f t="shared" si="1"/>
        <v>445</v>
      </c>
      <c r="BA12" s="137">
        <f t="shared" si="1"/>
        <v>467</v>
      </c>
      <c r="BB12" s="137">
        <f t="shared" si="1"/>
        <v>685</v>
      </c>
      <c r="BC12" s="135">
        <f>IF(ISNUMBER(X12),X12," - ")</f>
        <v>181</v>
      </c>
      <c r="BD12" s="136">
        <f t="shared" si="2"/>
        <v>1.0494382022471911</v>
      </c>
      <c r="BE12" s="137">
        <f t="shared" si="3"/>
        <v>1.4668094218415417</v>
      </c>
      <c r="BF12" s="137">
        <f t="shared" si="4"/>
        <v>0.38758029978586722</v>
      </c>
      <c r="BG12" s="209">
        <f t="shared" si="5"/>
        <v>2.4432548179871518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938</v>
      </c>
      <c r="J14" s="197">
        <f t="shared" si="7"/>
        <v>505</v>
      </c>
      <c r="K14" s="197">
        <f t="shared" si="7"/>
        <v>401</v>
      </c>
      <c r="L14" s="197">
        <f t="shared" si="7"/>
        <v>1149</v>
      </c>
      <c r="M14" s="197">
        <f t="shared" si="7"/>
        <v>123</v>
      </c>
      <c r="N14" s="197">
        <f t="shared" si="7"/>
        <v>203</v>
      </c>
      <c r="O14" s="197">
        <f t="shared" si="7"/>
        <v>164</v>
      </c>
      <c r="P14" s="197">
        <f t="shared" si="7"/>
        <v>87</v>
      </c>
      <c r="Q14" s="197">
        <f t="shared" si="7"/>
        <v>96</v>
      </c>
      <c r="R14" s="197">
        <f t="shared" si="7"/>
        <v>1991</v>
      </c>
      <c r="S14" s="197">
        <f t="shared" si="7"/>
        <v>659</v>
      </c>
      <c r="T14" s="197">
        <f t="shared" si="7"/>
        <v>438</v>
      </c>
      <c r="U14" s="197">
        <f t="shared" si="7"/>
        <v>431</v>
      </c>
      <c r="V14" s="197">
        <f t="shared" si="7"/>
        <v>676</v>
      </c>
      <c r="W14" s="197">
        <f t="shared" si="7"/>
        <v>136</v>
      </c>
      <c r="X14" s="197">
        <f t="shared" si="7"/>
        <v>181</v>
      </c>
      <c r="Y14" s="197">
        <f t="shared" si="7"/>
        <v>37</v>
      </c>
      <c r="Z14" s="197">
        <f t="shared" si="7"/>
        <v>44</v>
      </c>
      <c r="AA14" s="197">
        <f t="shared" si="7"/>
        <v>37</v>
      </c>
      <c r="AB14" s="197">
        <f t="shared" si="7"/>
        <v>53</v>
      </c>
      <c r="AC14" s="197">
        <f t="shared" si="7"/>
        <v>0</v>
      </c>
      <c r="AD14" s="197">
        <f t="shared" si="7"/>
        <v>0</v>
      </c>
      <c r="AE14" s="197">
        <f t="shared" si="7"/>
        <v>0</v>
      </c>
      <c r="AF14" s="197">
        <f>SUBTOTAL(9,AF9:AF13)</f>
        <v>0</v>
      </c>
      <c r="AG14" s="197">
        <f t="shared" ref="AG14:AT14" si="8">SUBTOTAL(9,AG8:AG13)</f>
        <v>37</v>
      </c>
      <c r="AH14" s="197">
        <f t="shared" si="8"/>
        <v>16</v>
      </c>
      <c r="AI14" s="197">
        <f t="shared" si="8"/>
        <v>36</v>
      </c>
      <c r="AJ14" s="197">
        <f t="shared" si="8"/>
        <v>18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696</v>
      </c>
      <c r="AZ14" s="197">
        <f>SUBTOTAL(9,AZ8:AZ13)</f>
        <v>454</v>
      </c>
      <c r="BA14" s="197">
        <f>SUBTOTAL(9,BA8:BA13)</f>
        <v>467</v>
      </c>
      <c r="BB14" s="197">
        <f>SUBTOTAL(9,BB8:BB13)</f>
        <v>694</v>
      </c>
      <c r="BC14" s="197">
        <f>SUBTOTAL(9,BC8:BC13)</f>
        <v>181</v>
      </c>
      <c r="BD14" s="219">
        <f>IF(ISNUMBER(BA14/AZ14),BA14/AZ14," - ")</f>
        <v>1.0286343612334801</v>
      </c>
      <c r="BE14" s="220">
        <f>IF(ISNUMBER(BB14/BA14),BB14/BA14, " - ")</f>
        <v>1.4860813704496787</v>
      </c>
      <c r="BF14" s="220">
        <f>IF(ISNUMBER(BC14/BA14),BC14/BA14, " - ")</f>
        <v>0.38758029978586722</v>
      </c>
      <c r="BG14" s="221">
        <f>IF(ISNUMBER((AY14+AZ14)/BA14),(AY14+AZ14)/BA14," - ")</f>
        <v>2.462526766595289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539</v>
      </c>
      <c r="J17" s="196">
        <v>412</v>
      </c>
      <c r="K17" s="196">
        <v>393</v>
      </c>
      <c r="L17" s="196">
        <v>564</v>
      </c>
      <c r="M17" s="196">
        <v>96</v>
      </c>
      <c r="N17" s="196">
        <v>191</v>
      </c>
      <c r="O17" s="194">
        <v>3</v>
      </c>
      <c r="P17" s="196">
        <v>11</v>
      </c>
      <c r="Q17" s="196">
        <v>8</v>
      </c>
      <c r="R17" s="196">
        <v>69</v>
      </c>
      <c r="S17" s="196">
        <v>407</v>
      </c>
      <c r="T17" s="196">
        <v>334</v>
      </c>
      <c r="U17" s="196">
        <v>342</v>
      </c>
      <c r="V17" s="196">
        <v>393</v>
      </c>
      <c r="W17" s="196">
        <v>86</v>
      </c>
      <c r="X17" s="202">
        <v>190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407</v>
      </c>
      <c r="AZ17" s="137">
        <f t="shared" si="10"/>
        <v>334</v>
      </c>
      <c r="BA17" s="137">
        <f t="shared" si="10"/>
        <v>342</v>
      </c>
      <c r="BB17" s="137">
        <f t="shared" si="10"/>
        <v>393</v>
      </c>
      <c r="BC17" s="135">
        <f>IF(ISNUMBER(W17),W17," - ")</f>
        <v>86</v>
      </c>
      <c r="BD17" s="136">
        <f t="shared" ref="BD17:BD22" si="12">IF(ISNUMBER(BA17/AZ17),BA17/AZ17," - ")</f>
        <v>1.0239520958083832</v>
      </c>
      <c r="BE17" s="137">
        <f t="shared" ref="BE17:BE22" si="13">IF(ISNUMBER(BB17/BA17),BB17/BA17, " - ")</f>
        <v>1.1491228070175439</v>
      </c>
      <c r="BF17" s="137">
        <f t="shared" ref="BF17:BF22" si="14">IF(ISNUMBER(BC17/BA17),BC17/BA17, " - ")</f>
        <v>0.25146198830409355</v>
      </c>
      <c r="BG17" s="209">
        <f t="shared" si="11"/>
        <v>2.1666666666666665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43</v>
      </c>
      <c r="K18" s="196">
        <v>41</v>
      </c>
      <c r="L18" s="196">
        <v>38</v>
      </c>
      <c r="M18" s="196">
        <v>13</v>
      </c>
      <c r="N18" s="196">
        <v>22</v>
      </c>
      <c r="O18" s="196">
        <v>0</v>
      </c>
      <c r="P18" s="196">
        <v>5</v>
      </c>
      <c r="Q18" s="196">
        <v>4</v>
      </c>
      <c r="R18" s="196">
        <v>1</v>
      </c>
      <c r="S18" s="196">
        <v>69</v>
      </c>
      <c r="T18" s="196">
        <v>36</v>
      </c>
      <c r="U18" s="196">
        <v>28</v>
      </c>
      <c r="V18" s="196">
        <v>77</v>
      </c>
      <c r="W18" s="196">
        <v>3</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69</v>
      </c>
      <c r="AZ18" s="139">
        <f t="shared" si="15"/>
        <v>36</v>
      </c>
      <c r="BA18" s="139">
        <f t="shared" si="15"/>
        <v>28</v>
      </c>
      <c r="BB18" s="139">
        <f t="shared" si="15"/>
        <v>77</v>
      </c>
      <c r="BC18" s="135">
        <f>IF(ISNUMBER(W18),W18," - ")</f>
        <v>3</v>
      </c>
      <c r="BD18" s="136">
        <f>IF(ISNUMBER(BA18/AZ18),BA18/AZ18," - ")</f>
        <v>0.77777777777777779</v>
      </c>
      <c r="BE18" s="137">
        <f>IF(ISNUMBER(BB18/BA18),BB18/BA18, " - ")</f>
        <v>2.75</v>
      </c>
      <c r="BF18" s="137">
        <f>IF(ISNUMBER(BC18/BA18),BC18/BA18, " - ")</f>
        <v>0.10714285714285714</v>
      </c>
      <c r="BG18" s="209">
        <f>IF(ISNUMBER((AY18+AZ18)/BA18),(AY18+AZ18)/BA18," - ")</f>
        <v>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575</v>
      </c>
      <c r="J23" s="197">
        <f t="shared" si="21"/>
        <v>455</v>
      </c>
      <c r="K23" s="197">
        <f t="shared" si="21"/>
        <v>434</v>
      </c>
      <c r="L23" s="197">
        <f t="shared" si="21"/>
        <v>602</v>
      </c>
      <c r="M23" s="197">
        <f t="shared" si="21"/>
        <v>109</v>
      </c>
      <c r="N23" s="197">
        <f t="shared" si="21"/>
        <v>213</v>
      </c>
      <c r="O23" s="197">
        <f t="shared" si="21"/>
        <v>3</v>
      </c>
      <c r="P23" s="197">
        <f t="shared" si="21"/>
        <v>16</v>
      </c>
      <c r="Q23" s="197">
        <f t="shared" si="21"/>
        <v>12</v>
      </c>
      <c r="R23" s="197">
        <f t="shared" si="21"/>
        <v>70</v>
      </c>
      <c r="S23" s="197">
        <f t="shared" si="21"/>
        <v>476</v>
      </c>
      <c r="T23" s="197">
        <f t="shared" si="21"/>
        <v>370</v>
      </c>
      <c r="U23" s="197">
        <f t="shared" si="21"/>
        <v>370</v>
      </c>
      <c r="V23" s="197">
        <f t="shared" si="21"/>
        <v>470</v>
      </c>
      <c r="W23" s="197">
        <f t="shared" si="21"/>
        <v>89</v>
      </c>
      <c r="X23" s="197">
        <f t="shared" si="21"/>
        <v>216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476</v>
      </c>
      <c r="AZ23" s="197">
        <f>SUBTOTAL(9,AZ15:AZ22)</f>
        <v>370</v>
      </c>
      <c r="BA23" s="197">
        <f>SUBTOTAL(9,BA15:BA22)</f>
        <v>370</v>
      </c>
      <c r="BB23" s="197">
        <f>SUBTOTAL(9,BB15:BB22)</f>
        <v>470</v>
      </c>
      <c r="BC23" s="197">
        <f>SUBTOTAL(9,BC15:BC22)</f>
        <v>89</v>
      </c>
      <c r="BD23" s="219">
        <f>IF(ISNUMBER(BA23/AZ23),BA23/AZ23," - ")</f>
        <v>1</v>
      </c>
      <c r="BE23" s="220">
        <f>IF(ISNUMBER(BB23/BA23),BB23/BA23, " - ")</f>
        <v>1.2702702702702702</v>
      </c>
      <c r="BF23" s="220">
        <f>IF(ISNUMBER(BC23/BA23),BC23/BA23, " - ")</f>
        <v>0.24054054054054055</v>
      </c>
      <c r="BG23" s="221">
        <f>IF(ISNUMBER((AY23+AZ23)/BA23),(AY23+AZ23)/BA23," - ")</f>
        <v>2.2864864864864867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1513</v>
      </c>
      <c r="J31" s="144">
        <f t="shared" si="36"/>
        <v>960</v>
      </c>
      <c r="K31" s="144">
        <f t="shared" si="36"/>
        <v>835</v>
      </c>
      <c r="L31" s="144">
        <f t="shared" si="36"/>
        <v>1751</v>
      </c>
      <c r="M31" s="144">
        <f t="shared" si="36"/>
        <v>232</v>
      </c>
      <c r="N31" s="144">
        <f t="shared" si="36"/>
        <v>416</v>
      </c>
      <c r="O31" s="144">
        <f t="shared" si="36"/>
        <v>167</v>
      </c>
      <c r="P31" s="144">
        <f t="shared" si="36"/>
        <v>103</v>
      </c>
      <c r="Q31" s="144">
        <f t="shared" si="36"/>
        <v>108</v>
      </c>
      <c r="R31" s="144">
        <f t="shared" si="36"/>
        <v>2061</v>
      </c>
      <c r="S31" s="144">
        <f t="shared" si="36"/>
        <v>1135</v>
      </c>
      <c r="T31" s="144">
        <f t="shared" si="36"/>
        <v>808</v>
      </c>
      <c r="U31" s="144">
        <f t="shared" si="36"/>
        <v>801</v>
      </c>
      <c r="V31" s="144">
        <f t="shared" si="36"/>
        <v>1146</v>
      </c>
      <c r="W31" s="144">
        <f t="shared" si="36"/>
        <v>225</v>
      </c>
      <c r="X31" s="144">
        <f t="shared" si="36"/>
        <v>397</v>
      </c>
      <c r="Y31" s="144">
        <f t="shared" si="36"/>
        <v>37</v>
      </c>
      <c r="Z31" s="144">
        <f t="shared" si="36"/>
        <v>44</v>
      </c>
      <c r="AA31" s="144">
        <f t="shared" si="36"/>
        <v>37</v>
      </c>
      <c r="AB31" s="144">
        <f t="shared" si="36"/>
        <v>53</v>
      </c>
      <c r="AC31" s="144">
        <f t="shared" si="36"/>
        <v>0</v>
      </c>
      <c r="AD31" s="144">
        <f t="shared" si="36"/>
        <v>0</v>
      </c>
      <c r="AE31" s="144">
        <f t="shared" si="36"/>
        <v>0</v>
      </c>
      <c r="AF31" s="144">
        <f t="shared" si="36"/>
        <v>0</v>
      </c>
      <c r="AG31" s="144">
        <f t="shared" si="36"/>
        <v>37</v>
      </c>
      <c r="AH31" s="144">
        <f t="shared" si="36"/>
        <v>16</v>
      </c>
      <c r="AI31" s="144">
        <f t="shared" si="36"/>
        <v>36</v>
      </c>
      <c r="AJ31" s="144">
        <f t="shared" si="36"/>
        <v>18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1172</v>
      </c>
      <c r="AZ31" s="144">
        <f>SUBTOTAL(9,AZ9:AZ30)</f>
        <v>824</v>
      </c>
      <c r="BA31" s="144">
        <f>SUBTOTAL(9,BA9:BA30)</f>
        <v>837</v>
      </c>
      <c r="BB31" s="144">
        <f>SUBTOTAL(9,BB9:BB30)</f>
        <v>1164</v>
      </c>
      <c r="BC31" s="145">
        <f>SUBTOTAL(9,BC9:BC30)</f>
        <v>270</v>
      </c>
      <c r="BD31" s="227">
        <f>IF(ISNUMBER(BA31/AZ31),BA31/AZ31," - ")</f>
        <v>1.0157766990291262</v>
      </c>
      <c r="BE31" s="224">
        <f>IF(ISNUMBER(BB31/BA31),BB31/BA31, " - ")</f>
        <v>1.3906810035842294</v>
      </c>
      <c r="BF31" s="224">
        <f>IF(ISNUMBER(BC31/BA31),BC31/BA31, " - ")</f>
        <v>0.32258064516129031</v>
      </c>
      <c r="BG31" s="145">
        <f>IF(ISNUMBER((AY31+AZ31)/BA31),(AY31+AZ31)/BA31," - ")</f>
        <v>2.3847072879330944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X01BS4MxE2qK5acQAgW00qL9intB9oea72gxrasOAEkMV8oHP35QNax9/DX/WozIN9yWi3ESzMddJK8SR4xcQ==" saltValue="B8QN7luEEfn6XMxkhxNo3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CHbYXu+Q+MuQLgGRX37EEVxqyUrKiSeC2a7ikfDaDsWgB7tgDk02SvWv4mLpFS7Ik+1aZyEAMbJl4/egHFV8w==" saltValue="CLuOc3SpscNmh8idnq5um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MAO-MAHON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0.7</v>
      </c>
      <c r="BH10" s="764">
        <f>IF(ISNUMBER(((Datos!L10/Datos!K10)*11)/factor_trimestre),((Datos!L10/Datos!K10)*11)/factor_trimestre," - ")</f>
        <v>3.8571428571428577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1988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117</v>
      </c>
      <c r="BD12" s="693">
        <f>IF(ISNUMBER(Datos!N12),Datos!N12," - ")</f>
        <v>203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0.79962894248608529</v>
      </c>
      <c r="BH12" s="764">
        <f>IF(ISNUMBER(((IF(J_V="SI",Datos!L12/Datos!K12,(Datos!L12+Datos!AB12)/(Datos!K12+Datos!AA12)))*11)/factor_trimestre),((IF(J_V="SI",Datos!L12/Datos!K12,(Datos!L12+Datos!AB12)/(Datos!K12+Datos!AA12)))*11)/factor_trimestre," - ")</f>
        <v>8.3039443155452446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-6.0000000000000001E-3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96</v>
      </c>
      <c r="AD14" s="1198">
        <f t="shared" si="2"/>
        <v>0</v>
      </c>
      <c r="AE14" s="1198">
        <f t="shared" si="2"/>
        <v>0</v>
      </c>
      <c r="AF14" s="1198">
        <f t="shared" si="2"/>
        <v>9</v>
      </c>
      <c r="AG14" s="1198">
        <f t="shared" si="2"/>
        <v>0</v>
      </c>
      <c r="AH14" s="1198">
        <f t="shared" si="2"/>
        <v>53</v>
      </c>
      <c r="AI14" s="1198">
        <f t="shared" si="2"/>
        <v>0</v>
      </c>
      <c r="AJ14" s="1198">
        <f t="shared" si="2"/>
        <v>0</v>
      </c>
      <c r="AK14" s="1198">
        <f t="shared" si="2"/>
        <v>0</v>
      </c>
      <c r="AL14" s="1198">
        <f t="shared" si="2"/>
        <v>0</v>
      </c>
      <c r="AM14" s="1198">
        <f t="shared" si="2"/>
        <v>1991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123</v>
      </c>
      <c r="BD14" s="1198">
        <f t="shared" si="2"/>
        <v>203</v>
      </c>
      <c r="BE14" s="1198">
        <f t="shared" si="2"/>
        <v>0</v>
      </c>
      <c r="BF14" s="1198">
        <f t="shared" si="2"/>
        <v>0</v>
      </c>
      <c r="BG14" s="1198">
        <f>IF(ISNUMBER(Datos!K14/Datos!J14),Datos!K14/Datos!J14," - ")</f>
        <v>0.7940594059405941</v>
      </c>
      <c r="BH14" s="1202">
        <f>IF(ISNUMBER(((Datos!L14/Datos!K14)*11)/factor_trimestre),((Datos!L14/Datos!K14)*11)/factor_trimestre," - ")</f>
        <v>8.5960099750623442</v>
      </c>
      <c r="BI14" s="1198">
        <f>IF(ISNUMBER('Resol  Asuntos'!D14/NºAsuntos!G14),'Resol  Asuntos'!D14/NºAsuntos!G14," - ")</f>
        <v>0.28082191780821919</v>
      </c>
      <c r="BJ14" s="1198" t="str">
        <f>IF(ISNUMBER(Datos!CI14/Datos!CJ14),Datos!CI14/Datos!CJ14," - ")</f>
        <v xml:space="preserve"> - </v>
      </c>
      <c r="BK14" s="1198">
        <f>SUBTOTAL(9,BK8:BK13)</f>
        <v>0</v>
      </c>
      <c r="BL14" s="1198">
        <f>IF(ISNUMBER((I14-AB14+L14)/(F14)),(I14-AB14+L14)/(F14)," - ")</f>
        <v>-1.1666666666666667</v>
      </c>
      <c r="BM14" s="1203">
        <f>SUBTOTAL(9,BM9:BM13)</f>
        <v>-6.0000000000000001E-3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545</v>
      </c>
      <c r="G17" s="743">
        <f>IF(ISNUMBER(IF(D_I="SI",Datos!I17,Datos!I17+Datos!AC17)),IF(D_I="SI",Datos!I17,Datos!I17+Datos!AC17)," - ")</f>
        <v>539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393</v>
      </c>
      <c r="AC17" s="240">
        <f>IF(ISNUMBER(Datos!Q17),Datos!Q17," - ")</f>
        <v>8</v>
      </c>
      <c r="AD17" s="374"/>
      <c r="AE17" s="562"/>
      <c r="AF17" s="741">
        <f>IF(ISNUMBER(IF(D_I="SI",Datos!L17,Datos!L17+Datos!AF17)),IF(D_I="SI",Datos!L17,Datos!L17+Datos!AF17)," - ")</f>
        <v>564</v>
      </c>
      <c r="AG17" s="374"/>
      <c r="AH17" s="374"/>
      <c r="AI17" s="374"/>
      <c r="AJ17" s="549"/>
      <c r="AK17" s="374"/>
      <c r="AL17" s="545"/>
      <c r="AM17" s="375">
        <f>IF(ISNUMBER(Datos!R17),Datos!R17," - ")</f>
        <v>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96</v>
      </c>
      <c r="BD17" s="243">
        <f>IF(ISNUMBER(Datos!N17),Datos!N17," - ")</f>
        <v>191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0.95388349514563109</v>
      </c>
      <c r="BH17" s="764">
        <f>IF(ISNUMBER(((IF(D_I="SI",Datos!L17/Datos!K17,(Datos!L17+Datos!AF17)/(Datos!K17+Datos!AE17)))*11)/factor_trimestre),((IF(D_I="SI",Datos!L17/Datos!K17,(Datos!L17+Datos!AF17)/(Datos!K17+Datos!AE17)))*11)/factor_trimestre," - ")</f>
        <v>4.3053435114503813</v>
      </c>
      <c r="BI17" s="266">
        <f>IF(ISNUMBER('Resol  Asuntos'!D17/NºAsuntos!G17),'Resol  Asuntos'!D17/NºAsuntos!G17," - ")</f>
        <v>0.24427480916030533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v>
      </c>
      <c r="AC18" s="547">
        <f>IF(ISNUMBER(Datos!Q18),Datos!Q18," - ")</f>
        <v>4</v>
      </c>
      <c r="AD18" s="549"/>
      <c r="AE18" s="562"/>
      <c r="AF18" s="551">
        <f>IF(ISNUMBER(Datos!L18),Datos!L18,"-")</f>
        <v>38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0.95348837209302328</v>
      </c>
      <c r="BH18" s="764">
        <f>IF(ISNUMBER(((IF(D_I="SI",Datos!L18/Datos!K18,(Datos!L18+Datos!AF18)/(Datos!K18+Datos!AE18)))*11)/factor_trimestre),((IF(D_I="SI",Datos!L18/Datos!K18,(Datos!L18+Datos!AF18)/(Datos!K18+Datos!AE18)))*11)/factor_trimestre," - ")</f>
        <v>2.780487804878049</v>
      </c>
      <c r="BI18" s="763">
        <f>IF(ISNUMBER('Resol  Asuntos'!D18/NºAsuntos!G18),'Resol  Asuntos'!D18/NºAsuntos!G18," - ")</f>
        <v>0.31707317073170732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545</v>
      </c>
      <c r="G23" s="1197">
        <f>SUBTOTAL(9,G16:G22)</f>
        <v>575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434</v>
      </c>
      <c r="AC23" s="1198">
        <f t="shared" si="5"/>
        <v>12</v>
      </c>
      <c r="AD23" s="1198">
        <f t="shared" si="5"/>
        <v>0</v>
      </c>
      <c r="AE23" s="1198">
        <f t="shared" si="5"/>
        <v>0</v>
      </c>
      <c r="AF23" s="1198">
        <f t="shared" si="5"/>
        <v>602</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v>
      </c>
      <c r="BD23" s="1198">
        <f t="shared" si="5"/>
        <v>213</v>
      </c>
      <c r="BE23" s="1198">
        <f t="shared" si="5"/>
        <v>0</v>
      </c>
      <c r="BF23" s="1198">
        <f t="shared" si="5"/>
        <v>0</v>
      </c>
      <c r="BG23" s="1198">
        <f>IF(ISNUMBER(Datos!K23/Datos!J23),Datos!K23/Datos!J23," - ")</f>
        <v>0.9538461538461539</v>
      </c>
      <c r="BH23" s="1202">
        <f>IF(ISNUMBER(((Datos!L23/Datos!K23)*11)/factor_trimestre),((Datos!L23/Datos!K23)*11)/factor_trimestre," - ")</f>
        <v>4.1612903225806459</v>
      </c>
      <c r="BI23" s="1198">
        <f>SUBTOTAL(9,BI16:BI22)</f>
        <v>0.56134797989201268</v>
      </c>
      <c r="BJ23" s="1198">
        <f>SUBTOTAL(9,BJ16:BJ22)</f>
        <v>0</v>
      </c>
      <c r="BK23" s="1198">
        <f>SUBTOTAL(9,BK16:BK22)</f>
        <v>0</v>
      </c>
      <c r="BL23" s="1198">
        <f>IF(ISNUMBER((I23-AB23+L23)/(F23)),(I23-AB23+L23)/(F23)," - ")</f>
        <v>-0.79633027522935784</v>
      </c>
      <c r="BM23" s="1205">
        <f>IF(ISNUMBER((Datos!P23-Datos!Q23)/(Datos!R23-Datos!P23+Datos!Q23)),(Datos!P23-Datos!Q23)/(Datos!R23-Datos!P23+Datos!Q23)," - ")</f>
        <v>6.0606060606060608E-2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551</v>
      </c>
      <c r="G31" s="1117">
        <f t="shared" si="18"/>
        <v>581</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103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441</v>
      </c>
      <c r="AC31" s="1118">
        <f t="shared" si="19"/>
        <v>108</v>
      </c>
      <c r="AD31" s="1118">
        <f t="shared" si="19"/>
        <v>0</v>
      </c>
      <c r="AE31" s="1118">
        <f t="shared" si="19"/>
        <v>0</v>
      </c>
      <c r="AF31" s="1125">
        <f t="shared" si="19"/>
        <v>611</v>
      </c>
      <c r="AG31" s="1125">
        <f t="shared" si="19"/>
        <v>0</v>
      </c>
      <c r="AH31" s="1125">
        <f t="shared" si="19"/>
        <v>53</v>
      </c>
      <c r="AI31" s="1125">
        <f t="shared" si="19"/>
        <v>0</v>
      </c>
      <c r="AJ31" s="1118">
        <f t="shared" si="19"/>
        <v>0</v>
      </c>
      <c r="AK31" s="1125">
        <f t="shared" si="19"/>
        <v>0</v>
      </c>
      <c r="AL31" s="1125">
        <f t="shared" si="19"/>
        <v>0</v>
      </c>
      <c r="AM31" s="1125">
        <f t="shared" si="19"/>
        <v>2061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232</v>
      </c>
      <c r="BD31" s="1117">
        <f t="shared" si="19"/>
        <v>416</v>
      </c>
      <c r="BE31" s="1117">
        <f t="shared" si="19"/>
        <v>0</v>
      </c>
      <c r="BF31" s="1127">
        <f t="shared" si="19"/>
        <v>0</v>
      </c>
      <c r="BG31" s="1223">
        <f>IF(ISNUMBER(Datos!K31/Datos!J31),Datos!K31/Datos!J31," - ")</f>
        <v>0.86979166666666663</v>
      </c>
      <c r="BH31" s="1223">
        <f>IF(ISNUMBER(((Datos!L31/Datos!K31)*11)/factor_trimestre),((Datos!L31/Datos!K31)*11)/factor_trimestre," - ")</f>
        <v>6.2910179640718562</v>
      </c>
      <c r="BI31" s="1103">
        <f>IF(ISNUMBER(Datos!J31/Datos!I31),Datos!J31/Datos!I31," - ")</f>
        <v>0.63450099140779903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-0.80036297640653353</v>
      </c>
      <c r="BM31" s="1188">
        <f>IF(ISNUMBER((Datos!P31-Datos!Q31+R31)/(Datos!R31-Datos!P31+Datos!Q31-R31)),(Datos!P31-Datos!Q31+R31)/(Datos!R31-Datos!P31+Datos!Q31-R31)," - ")</f>
        <v>-2.4201355275895449E-3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279.90045849670679</v>
      </c>
      <c r="G33" s="674">
        <f>IF(ISNUMBER(STDEV(G8:G30)),STDEV(G8:G30),"-")</f>
        <v>267.58861460582858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197.25279888170576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57.579758348125878</v>
      </c>
      <c r="BD33" s="673"/>
      <c r="BE33" s="673">
        <f>IF(ISNUMBER(STDEV(BE8:BE30)),STDEV(BE8:BE30),"-")</f>
        <v>0</v>
      </c>
      <c r="BF33" s="678">
        <f>IF(ISNUMBER(STDEV(BF8:BF30)),STDEV(BF8:BF30),"-")</f>
        <v>0</v>
      </c>
      <c r="BG33" s="1052">
        <f>IF(ISNUMBER(STDEV(BG8:BG30)),STDEV(BG8:BG30),"-")</f>
        <v>0.1094986660382149</v>
      </c>
      <c r="BH33" s="1058">
        <f>IF(ISNUMBER(STDEV(BH8:BH30)),STDEV(BH8:BH30),"-")</f>
        <v>2.4737094419862959</v>
      </c>
      <c r="BI33" s="273">
        <f>IF(ISNUMBER(STDEV(BI8:BI30)),STDEV(BI8:BI30),"-")</f>
        <v>0.14342532767754332</v>
      </c>
      <c r="BJ33" s="244" t="str">
        <f>IF(ISNUMBER(BL33/BM33),BL33/BM33," - ")</f>
        <v xml:space="preserve"> - </v>
      </c>
      <c r="BK33" s="709"/>
      <c r="BL33" s="681">
        <f>IF(ISNUMBER(STDEV(BL8:BL30)),STDEV(BL8:BL30),"-")</f>
        <v>0.26186737370547664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n1ifyakVxRE0a+UPe9qCxVHieNT/nktWiB06GPTOc/Et2p3ouQS/v0OrjEejtk8PXVHiGcz0mdy1geeTATIpw==" saltValue="m8WvXakiJULXExeAB1gn9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MAO-MAHON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3.8571428571428577</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96</v>
      </c>
      <c r="AA12" s="551" t="str">
        <f>IF(ISNUMBER(IF(J_V="SI",Datos!L12,Datos!L12+Datos!AB12)-IF(Monitorios="SI",Datos!CD12,0)),
                          IF(J_V="SI",Datos!L12,Datos!L12+Datos!AB12)-IF(Monitorios="SI",Datos!CD12,0),
                          " - ")</f>
        <v xml:space="preserve"> - </v>
      </c>
      <c r="AB12" s="549"/>
      <c r="AC12" s="549"/>
      <c r="AD12" s="563"/>
      <c r="AE12" s="563">
        <f>IF(ISNUMBER(Datos!R12),Datos!R12," - ")</f>
        <v>1988</v>
      </c>
      <c r="AF12" s="693" t="str">
        <f>IF(ISNUMBER(Datos!BV12),Datos!BV12," - ")</f>
        <v xml:space="preserve"> - </v>
      </c>
      <c r="AG12" s="552" t="str">
        <f>IF(ISNUMBER(Datos!DV12),Datos!DV12," - ")</f>
        <v xml:space="preserve"> - </v>
      </c>
      <c r="AH12" s="553"/>
      <c r="AI12" s="554"/>
      <c r="AJ12" s="552">
        <f>IF(ISNUMBER(Datos!M12),Datos!M12," - ")</f>
        <v>117</v>
      </c>
      <c r="AK12" s="693">
        <f>IF(ISNUMBER(Datos!N12),Datos!N12," - ")</f>
        <v>203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8.3039443155452446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-6.0000000000000001E-3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96</v>
      </c>
      <c r="AA14" s="1199">
        <f t="shared" si="3"/>
        <v>9</v>
      </c>
      <c r="AB14" s="1199">
        <f t="shared" si="3"/>
        <v>0</v>
      </c>
      <c r="AC14" s="1199">
        <f t="shared" si="3"/>
        <v>0</v>
      </c>
      <c r="AD14" s="1199">
        <f t="shared" si="3"/>
        <v>0</v>
      </c>
      <c r="AE14" s="1199">
        <f t="shared" si="3"/>
        <v>1991</v>
      </c>
      <c r="AF14" s="1211">
        <f t="shared" si="3"/>
        <v>0</v>
      </c>
      <c r="AG14" s="1211">
        <f t="shared" si="3"/>
        <v>0</v>
      </c>
      <c r="AH14" s="1211">
        <f t="shared" si="3"/>
        <v>0</v>
      </c>
      <c r="AI14" s="1211">
        <f t="shared" si="3"/>
        <v>0</v>
      </c>
      <c r="AJ14" s="1211">
        <f t="shared" si="3"/>
        <v>123</v>
      </c>
      <c r="AK14" s="1211">
        <f t="shared" si="3"/>
        <v>203</v>
      </c>
      <c r="AL14" s="1211">
        <f t="shared" si="3"/>
        <v>0</v>
      </c>
      <c r="AM14" s="1211">
        <f t="shared" si="3"/>
        <v>0</v>
      </c>
      <c r="AN14" s="1211">
        <f t="shared" si="3"/>
        <v>0</v>
      </c>
      <c r="AO14" s="1203">
        <f>IF(ISNUMBER(((NºAsuntos!I14/NºAsuntos!G14)*11)/factor_trimestre),((NºAsuntos!I14/NºAsuntos!G14)*11)/factor_trimestre," - ")</f>
        <v>8.2328767123287676</v>
      </c>
      <c r="AP14" s="1213" t="str">
        <f>IF(ISNUMBER(Datos!CI14/Datos!CJ14),Datos!CI14/Datos!CJ14," - ")</f>
        <v xml:space="preserve"> - </v>
      </c>
      <c r="AQ14" s="1236">
        <f t="shared" ref="AQ14:AV14" si="4">SUBTOTAL(9,AQ9:AQ13)</f>
        <v>0</v>
      </c>
      <c r="AR14" s="1236">
        <f t="shared" si="4"/>
        <v>-6.0000000000000001E-3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545</v>
      </c>
      <c r="G17" s="552">
        <f>IF(ISNUMBER(IF(D_I="SI",Datos!I17,Datos!I17+Datos!AC17)),IF(D_I="SI",Datos!I17,Datos!I17+Datos!AC17)," - ")</f>
        <v>539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393</v>
      </c>
      <c r="Z17" s="805">
        <f>IF(ISNUMBER(Datos!Q17),Datos!Q17," - ")</f>
        <v>8</v>
      </c>
      <c r="AA17" s="551">
        <f>IF(ISNUMBER(IF(D_I="SI",Datos!L17,Datos!L17+Datos!AF17)),IF(D_I="SI",Datos!L17,Datos!L17+Datos!AF17)," - ")</f>
        <v>564</v>
      </c>
      <c r="AB17" s="549"/>
      <c r="AC17" s="549"/>
      <c r="AD17" s="563"/>
      <c r="AE17" s="563">
        <f>IF(ISNUMBER(Datos!R17),Datos!R17," - ")</f>
        <v>69</v>
      </c>
      <c r="AF17" s="693" t="str">
        <f>IF(ISNUMBER(Datos!BV17),Datos!BV17," - ")</f>
        <v xml:space="preserve"> - </v>
      </c>
      <c r="AG17" s="552"/>
      <c r="AH17" s="553"/>
      <c r="AI17" s="554"/>
      <c r="AJ17" s="552">
        <f>IF(ISNUMBER(Datos!M17),Datos!M17," - ")</f>
        <v>96</v>
      </c>
      <c r="AK17" s="693">
        <f>IF(ISNUMBER(Datos!N17),Datos!N17," - ")</f>
        <v>191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4.3053435114503813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v>
      </c>
      <c r="Z18" s="805">
        <f>IF(ISNUMBER(Datos!Q18),Datos!Q18," - ")</f>
        <v>4</v>
      </c>
      <c r="AA18" s="551">
        <f>IF(ISNUMBER(Datos!L18),Datos!L18,"-")</f>
        <v>38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13</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2.780487804878049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545</v>
      </c>
      <c r="G23" s="1197">
        <f>SUBTOTAL(9,G16:G22)</f>
        <v>575</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434</v>
      </c>
      <c r="Z23" s="1240">
        <f t="shared" si="6"/>
        <v>12</v>
      </c>
      <c r="AA23" s="1240">
        <f t="shared" si="6"/>
        <v>602</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109</v>
      </c>
      <c r="AK23" s="1240">
        <f t="shared" si="6"/>
        <v>213</v>
      </c>
      <c r="AL23" s="1240">
        <f t="shared" si="6"/>
        <v>0</v>
      </c>
      <c r="AM23" s="1240">
        <f t="shared" si="6"/>
        <v>0</v>
      </c>
      <c r="AN23" s="1240">
        <f t="shared" si="6"/>
        <v>0</v>
      </c>
      <c r="AO23" s="1242">
        <f>IF(ISNUMBER(((NºAsuntos!I23/NºAsuntos!G23)*11)/factor_trimestre),((NºAsuntos!I23/NºAsuntos!G23)*11)/factor_trimestre," - ")</f>
        <v>4.1612903225806459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551</v>
      </c>
      <c r="G31" s="1117">
        <f t="shared" si="12"/>
        <v>581</v>
      </c>
      <c r="H31" s="1118">
        <f t="shared" si="12"/>
        <v>0</v>
      </c>
      <c r="I31" s="1117">
        <f t="shared" si="12"/>
        <v>0</v>
      </c>
      <c r="J31" s="1119">
        <f t="shared" si="12"/>
        <v>0</v>
      </c>
      <c r="K31" s="1117">
        <f t="shared" si="12"/>
        <v>0</v>
      </c>
      <c r="L31" s="1120">
        <f t="shared" si="12"/>
        <v>0</v>
      </c>
      <c r="M31" s="1117">
        <f t="shared" si="12"/>
        <v>0</v>
      </c>
      <c r="N31" s="1118">
        <f t="shared" si="12"/>
        <v>103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441</v>
      </c>
      <c r="Z31" s="1124">
        <f t="shared" si="13"/>
        <v>108</v>
      </c>
      <c r="AA31" s="1125">
        <f t="shared" si="13"/>
        <v>611</v>
      </c>
      <c r="AB31" s="1125">
        <f t="shared" si="13"/>
        <v>0</v>
      </c>
      <c r="AC31" s="1125">
        <f t="shared" si="13"/>
        <v>0</v>
      </c>
      <c r="AD31" s="1126">
        <f t="shared" si="13"/>
        <v>0</v>
      </c>
      <c r="AE31" s="1126">
        <f t="shared" si="13"/>
        <v>2061</v>
      </c>
      <c r="AF31" s="1127">
        <f t="shared" si="13"/>
        <v>0</v>
      </c>
      <c r="AG31" s="1128">
        <f t="shared" si="13"/>
        <v>0</v>
      </c>
      <c r="AH31" s="1129">
        <f t="shared" si="13"/>
        <v>0</v>
      </c>
      <c r="AI31" s="1127">
        <f t="shared" si="13"/>
        <v>0</v>
      </c>
      <c r="AJ31" s="1117">
        <f t="shared" si="13"/>
        <v>232</v>
      </c>
      <c r="AK31" s="1117">
        <f t="shared" si="13"/>
        <v>416</v>
      </c>
      <c r="AL31" s="1117">
        <f t="shared" si="13"/>
        <v>0</v>
      </c>
      <c r="AM31" s="1130">
        <f t="shared" si="13"/>
        <v>0</v>
      </c>
      <c r="AN31" s="1120">
        <f>IF(ISNUMBER(Datos!K31/Datos!J31),Datos!K31/Datos!J31," - ")</f>
        <v>0.86979166666666663</v>
      </c>
      <c r="AO31" s="1120">
        <f>IF(ISNUMBER(FIND("06",Criterios!A8,1)),(IF(ISNUMBER(((Datos!R31/Datos!Q31)*11)/factor_trimestre),((Datos!R31/Datos!Q31)*11)/factor_trimestre," - ")),(IF(ISNUMBER(((Datos!L31/Datos!K31)*11)/factor_trimestre),((Datos!L31/Datos!K31)*11)/factor_trimestre," - ")))</f>
        <v>6.2910179640718562</v>
      </c>
      <c r="AP31" s="1131" t="str">
        <f>IF(ISNUMBER(Datos!CI31/Datos!CJ31),Datos!CI31/Datos!CJ31," - ")</f>
        <v xml:space="preserve"> - </v>
      </c>
      <c r="AQ31" s="1131">
        <f>IF(OR(ISNUMBER(FIND("01",Criterios!A8,1)),ISNUMBER(FIND("02",Criterios!A8,1)),ISNUMBER(FIND("03",Criterios!A8,1)),ISNUMBER(FIND("04",Criterios!A8,1))),(J31-Y31+K31)/(F31-K31),(I31-Y31+K31)/(F31-K31))</f>
        <v>-0.80036297640653353</v>
      </c>
      <c r="AR31" s="1131">
        <f>IF(ISNUMBER((Datos!P31-Datos!Q31+O31)/(Datos!R31-Datos!P31+Datos!Q31-O31)),(Datos!P31-Datos!Q31+O31)/(Datos!R31-Datos!P31+Datos!Q31-O31)," - ")</f>
        <v>-2.4201355275895449E-3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279.90045849670679</v>
      </c>
      <c r="G33" s="674">
        <f>IF(ISNUMBER(STDEV(G8:G30)),STDEV(G8:G30),"-")</f>
        <v>267.58861460582858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57.579758348125878</v>
      </c>
      <c r="AK33" s="276"/>
      <c r="AL33" s="276">
        <f>IF(ISNUMBER(STDEV(AL8:AL30)),STDEV(AL8:AL30),"-")</f>
        <v>0</v>
      </c>
      <c r="AM33" s="278">
        <f>IF(ISNUMBER(STDEV(AM8:AM30)),STDEV(AM8:AM30),"-")</f>
        <v>0</v>
      </c>
      <c r="AN33" s="660">
        <f>IF(ISNUMBER(STDEV(AN8:AN30)),STDEV(AN8:AN30),"-")</f>
        <v>0</v>
      </c>
      <c r="AO33" s="661">
        <f>IF(ISNUMBER(STDEV(AO8:AO30)),STDEV(AO8:AO30),"-")</f>
        <v>2.3806309242673667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xU4xEWWTctzJHAOVgS2N7qjjNtQtULLcfpDji6DJ28b+zOVqcQCKZkc1ppl38dipv9obgG0GKjl9QyKr3Jc9A==" saltValue="ULOGBQdUGulOHuT61uR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IfCeOQ2RwUlfpckOqS5VDKSUglIOemKRdl6tz+N4EJtB80vpqOZ9PcIksHW+HlVa2vsi66l3by3QK82xfBqug==" saltValue="Twj4viWJRROpeJiNA/kR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dKinX8d2BxWrJoYV6SGUDydJtkr2o/iV1sc4DjA3ndf3sd0jk2uPAZrNjiOOfNaTSIUjnGhxdEkh3wTWlYBuw==" saltValue="Bl85mlkJTj6uZbDfbPlx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MAO-MAHON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0.28082191780821919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0.19857108238800308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7/kZgqkB1VareZ+bYDfQBaRo6pl0hKhq4Iff2HgBsf/1MnTvlZj/gf/g1IeTUpcjSdDkYkhvyjGxj3eFv+suLw==" saltValue="MEr52pA7L3SH3CeZzNKM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uQQkb3zD2//r0JPg5HTAgXm14aqnB0rUEUoJ4cFJYLbcOdKh8gMVl5HCNNCktELTT6DE0/lsNvoytexthoR2w==" saltValue="Ctkdq6kPzj2Mw4Av3MaH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MAO-MAHON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10</v>
      </c>
      <c r="F10" s="452">
        <f>IF(ISNUMBER(E10/B10),E10/B10," - ")</f>
        <v>10</v>
      </c>
      <c r="G10" s="451">
        <f>IF(ISNUMBER(Datos!K10),Datos!K10," - ")</f>
        <v>7</v>
      </c>
      <c r="H10" s="452">
        <f>IF(ISNUMBER(G10/B10),G10/B10," - ")</f>
        <v>7</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969</v>
      </c>
      <c r="D12" s="452">
        <f>IF(ISNUMBER(C12/Datos!BH12),C12/Datos!BH12," - ")</f>
        <v>323</v>
      </c>
      <c r="E12" s="451">
        <f>IF(ISNUMBER(IF(J_V="SI",Datos!J12,Datos!J12+Datos!Z12)),IF(J_V="SI",Datos!J12,Datos!J12+Datos!Z12)," - ")</f>
        <v>539</v>
      </c>
      <c r="F12" s="452">
        <f>IF(ISNUMBER(E12/B12),E12/B12," - ")</f>
        <v>179.66666666666666</v>
      </c>
      <c r="G12" s="451">
        <f>IF(ISNUMBER(IF(J_V="SI",Datos!K12,Datos!K12+Datos!AA12)),IF(J_V="SI",Datos!K12,Datos!K12+Datos!AA12)," - ")</f>
        <v>431</v>
      </c>
      <c r="H12" s="452">
        <f>IF(ISNUMBER(G12/B12),G12/B12," - ")</f>
        <v>143.66666666666666</v>
      </c>
      <c r="I12" s="451">
        <f>IF(ISNUMBER(IF(J_V="SI",Datos!L12,Datos!L12+Datos!AB12)),IF(J_V="SI",Datos!L12,Datos!L12+Datos!AB12)," - ")</f>
        <v>1193</v>
      </c>
      <c r="J12" s="452">
        <f>IF(ISNUMBER(I12/B12),I12/B12," - ")</f>
        <v>397.66666666666669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975</v>
      </c>
      <c r="D14" s="1147" t="str">
        <f>IF(ISNUMBER(C14/Datos!BI14),C14/Datos!BI14," - ")</f>
        <v xml:space="preserve"> - </v>
      </c>
      <c r="E14" s="1146">
        <f>SUBTOTAL(9,E8:E13)</f>
        <v>549</v>
      </c>
      <c r="F14" s="1147">
        <f>IF(ISNUMBER(E14/B14),E14/B14," - ")</f>
        <v>183</v>
      </c>
      <c r="G14" s="1146">
        <f>SUBTOTAL(9,G8:G13)</f>
        <v>438</v>
      </c>
      <c r="H14" s="1147">
        <f>IF(ISNUMBER(G14/B14),G14/B14," - ")</f>
        <v>146</v>
      </c>
      <c r="I14" s="1146">
        <f>SUBTOTAL(9,I8:I13)</f>
        <v>1202</v>
      </c>
      <c r="J14" s="1147">
        <f>IF(ISNUMBER(I14/B14),I14/B14," - ")</f>
        <v>400.66666666666669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539</v>
      </c>
      <c r="D17" s="452">
        <f>IF(ISNUMBER(C17/Datos!BH17),C17/Datos!BH17," - ")</f>
        <v>179.66666666666666</v>
      </c>
      <c r="E17" s="451">
        <f>IF(ISNUMBER(IF(D_I="SI",Datos!J17,Datos!J17+Datos!AD17)),IF(D_I="SI",Datos!J17,Datos!J17+Datos!AD17)," - ")</f>
        <v>412</v>
      </c>
      <c r="F17" s="452">
        <f>IF(ISNUMBER(E17/B17),E17/B17," - ")</f>
        <v>137.33333333333334</v>
      </c>
      <c r="G17" s="451">
        <f>IF(ISNUMBER(IF(D_I="SI",Datos!K17,Datos!K17+Datos!AE17)),IF(D_I="SI",Datos!K17,Datos!K17+Datos!AE17)," - ")</f>
        <v>393</v>
      </c>
      <c r="H17" s="452">
        <f>IF(ISNUMBER(G17/B17),G17/B17," - ")</f>
        <v>131</v>
      </c>
      <c r="I17" s="451">
        <f>IF(ISNUMBER(IF(D_I="SI",Datos!L17,Datos!L17+Datos!AF17)),IF(D_I="SI",Datos!L17,Datos!L17+Datos!AF17)," - ")</f>
        <v>564</v>
      </c>
      <c r="J17" s="452">
        <f>IF(ISNUMBER(I17/B17),I17/B17," - ")</f>
        <v>188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43</v>
      </c>
      <c r="F18" s="452">
        <f>IF(ISNUMBER(E18/B18),E18/B18," - ")</f>
        <v>43</v>
      </c>
      <c r="G18" s="451">
        <f>IF(ISNUMBER(IF(D_I="SI",Datos!K18,Datos!K18+Datos!AE18)),IF(D_I="SI",Datos!K18,Datos!K18+Datos!AE18)," - ")</f>
        <v>41</v>
      </c>
      <c r="H18" s="452">
        <f>IF(ISNUMBER(G18/B18),G18/B18," - ")</f>
        <v>41</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575</v>
      </c>
      <c r="D23" s="1147" t="str">
        <f>IF(ISNUMBER(C23/Datos!BI23),C23/Datos!BI23," - ")</f>
        <v xml:space="preserve"> - </v>
      </c>
      <c r="E23" s="1146">
        <f>SUBTOTAL(9,E15:E22)</f>
        <v>455</v>
      </c>
      <c r="F23" s="1147">
        <f>IF(ISNUMBER(E23/B23),E23/B23," - ")</f>
        <v>151.66666666666666</v>
      </c>
      <c r="G23" s="1146">
        <f>SUBTOTAL(9,G15:G22)</f>
        <v>434</v>
      </c>
      <c r="H23" s="1147">
        <f>IF(ISNUMBER(G23/B23),G23/B23," - ")</f>
        <v>144.66666666666666</v>
      </c>
      <c r="I23" s="1146">
        <f>SUBTOTAL(9,I15:I22)</f>
        <v>602</v>
      </c>
      <c r="J23" s="1147">
        <f>IF(ISNUMBER(I23/B23),I23/B23," - ")</f>
        <v>200.66666666666666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1550</v>
      </c>
      <c r="D31" s="1085" t="str">
        <f>IF(ISNUMBER(C31/Datos!BI31),C31/Datos!BI31," - ")</f>
        <v xml:space="preserve"> - </v>
      </c>
      <c r="E31" s="1084">
        <f>SUBTOTAL(9,E9:E30)</f>
        <v>1004</v>
      </c>
      <c r="F31" s="1085">
        <f>IF(ISNUMBER(E31/B31),E31/B31," - ")</f>
        <v>334.66666666666669</v>
      </c>
      <c r="G31" s="1084">
        <f>SUBTOTAL(9,G9:G30)</f>
        <v>872</v>
      </c>
      <c r="H31" s="1085">
        <f>IF(ISNUMBER(G31/B31),G31/B31," - ")</f>
        <v>290.66666666666669</v>
      </c>
      <c r="I31" s="1084">
        <f>SUBTOTAL(9,I9:I30)</f>
        <v>1804</v>
      </c>
      <c r="J31" s="1085">
        <f>IF(ISNUMBER(I31/B31),I31/B31," - ")</f>
        <v>601.33333333333337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DffQcSdzKgaCzaqWb1GP2KugT4+ieXosDNA5Z9Kfw33inuVzDISz+LrKXa97YT7Xk3VoV3qdlvrmI4ojQ9S/g==" saltValue="g/4T01BedngX2rrHb+By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MAO-MAHON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3.8571428571428577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117</v>
      </c>
      <c r="AM12" s="914">
        <f>IF(ISNUMBER(Datos!N12+DatosP!N17),Datos!N12+DatosP!N17," - ")</f>
        <v>203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8.3039443155452446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-6.0000000000000001E-3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96</v>
      </c>
      <c r="AE14" s="1257">
        <f t="shared" si="1"/>
        <v>0</v>
      </c>
      <c r="AF14" s="1257">
        <f t="shared" si="1"/>
        <v>9</v>
      </c>
      <c r="AG14" s="1257">
        <f t="shared" si="1"/>
        <v>0</v>
      </c>
      <c r="AH14" s="1257">
        <f t="shared" si="1"/>
        <v>1988</v>
      </c>
      <c r="AI14" s="1257">
        <f t="shared" si="1"/>
        <v>0</v>
      </c>
      <c r="AJ14" s="1257">
        <f t="shared" si="1"/>
        <v>0</v>
      </c>
      <c r="AK14" s="1257">
        <f t="shared" si="1"/>
        <v>0</v>
      </c>
      <c r="AL14" s="1257">
        <f t="shared" si="1"/>
        <v>123</v>
      </c>
      <c r="AM14" s="1257">
        <f t="shared" si="1"/>
        <v>203</v>
      </c>
      <c r="AN14" s="1257">
        <f t="shared" si="1"/>
        <v>0</v>
      </c>
      <c r="AO14" s="1257">
        <f t="shared" si="1"/>
        <v>0</v>
      </c>
      <c r="AP14" s="1262">
        <f>IF(ISNUMBER(((Datos!L14/Datos!K14)*11)/factor_trimestre),((Datos!L14/Datos!K14)*11)/factor_trimestre," - ")</f>
        <v>8.5960099750623442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-1.1666666666666667</v>
      </c>
      <c r="AU14" s="1257" t="str">
        <f>IF(ISNUMBER((DatosP!#REF!-DatosP!#REF!+DatosP!#REF!)/(DatosP!#REF!+DatosP!#REF!-DatosP!#REF!-DatosP!#REF!)),(DatosP!#REF!-DatosP!#REF!+DatosP!#REF!)/(DatosP!#REF!+DatosP!#REF!-DatosP!#REF!-DatosP!#REF!)," - ")</f>
        <v xml:space="preserve"> - </v>
      </c>
      <c r="AV14" s="1263">
        <f>SUBTOTAL(9,AV9:AV13)</f>
        <v>-6.0000000000000001E-3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4.1612903225806459</v>
      </c>
      <c r="AQ23" s="1262">
        <f>IF(ISNUMBER(((Datos!M23/Datos!L23)*11)/factor_trimestre),((Datos!M23/Datos!L23)*11)/factor_trimestre," - ")</f>
        <v>0.54318936877076407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6.0606060606060608E-2</v>
      </c>
      <c r="AW23" s="1265">
        <f>IF(ISNUMBER((Datos!Q23-Datos!R23)/(Datos!S23-Datos!Q23+Datos!R23)),(Datos!Q23-Datos!R23)/(Datos!S23-Datos!Q23+Datos!R23)," - ")</f>
        <v>-0.10861423220973783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96</v>
      </c>
      <c r="AE31" s="1284">
        <f t="shared" si="9"/>
        <v>0</v>
      </c>
      <c r="AF31" s="1285">
        <f t="shared" si="9"/>
        <v>9</v>
      </c>
      <c r="AG31" s="1285">
        <f t="shared" si="9"/>
        <v>0</v>
      </c>
      <c r="AH31" s="1285">
        <f t="shared" si="9"/>
        <v>1988</v>
      </c>
      <c r="AI31" s="1285">
        <f t="shared" si="9"/>
        <v>0</v>
      </c>
      <c r="AJ31" s="1286">
        <f t="shared" si="9"/>
        <v>0</v>
      </c>
      <c r="AK31" s="1286">
        <f t="shared" si="9"/>
        <v>0</v>
      </c>
      <c r="AL31" s="1278">
        <f t="shared" si="9"/>
        <v>123</v>
      </c>
      <c r="AM31" s="1278">
        <f t="shared" si="9"/>
        <v>203</v>
      </c>
      <c r="AN31" s="1278">
        <f t="shared" si="9"/>
        <v>0</v>
      </c>
      <c r="AO31" s="1278">
        <f t="shared" si="9"/>
        <v>0</v>
      </c>
      <c r="AP31" s="1278">
        <f>IF(ISNUMBER(((Datos!L31/Datos!K31)*11)/factor_trimestre),((Datos!L31/Datos!K31)*11)/factor_trimestre," - ")</f>
        <v>6.2910179640718562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-2.4201355275895449E-3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61.266630395346532</v>
      </c>
      <c r="AM33" s="1006"/>
      <c r="AN33" s="1006">
        <f>IF(ISNUMBER(STDEV(AN8:AN30)),STDEV(AN8:AN30),"-")</f>
        <v>0</v>
      </c>
      <c r="AO33" s="1012">
        <f>IF(ISNUMBER(STDEV(AO8:AO30)),STDEV(AO8:AO30),"-")</f>
        <v>0</v>
      </c>
      <c r="AP33" s="1065">
        <f>IF(ISNUMBER(STDEV(AP8:AP30)),STDEV(AP8:AP30),"-")</f>
        <v>2.5696470786128485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wWiIsIJVb/Fg6/F40f/jfIjpz6UZ+zdneSSuAdphM1hVeZnxX8JhfOvSFonZzdMRNArqVw85BzUhNd+qCWZ0Q==" saltValue="V1k4ME5D8dMS68kCtsJr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MAO-MAHON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LYu4LmJcquqGazjXurkHdqxRUJw3hY1IqDqyze9rCQ13iB3cSUSjxMgUP6uOMhFXaT6eCxVbOzq/NMsYWHM4A==" saltValue="8rVzjoBHxoBz4Z88MtMI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MAO-MAHON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117</v>
      </c>
      <c r="E12" s="452">
        <f t="shared" si="0"/>
        <v>39</v>
      </c>
      <c r="F12" s="451">
        <f>IF(ISNUMBER(Datos!N12),Datos!N12," - ")</f>
        <v>203</v>
      </c>
      <c r="G12" s="452">
        <f t="shared" si="1"/>
        <v>67.666666666666671</v>
      </c>
      <c r="H12" s="451">
        <f>IF(ISNUMBER(Datos!O12),Datos!O12," - ")</f>
        <v>164</v>
      </c>
      <c r="I12" s="452">
        <f t="shared" si="2"/>
        <v>54.666666666666664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123</v>
      </c>
      <c r="E14" s="1147">
        <f t="shared" si="0"/>
        <v>30.75</v>
      </c>
      <c r="F14" s="1146">
        <f>SUBTOTAL(9,F9:F13)</f>
        <v>203</v>
      </c>
      <c r="G14" s="1147">
        <f t="shared" si="1"/>
        <v>50.75</v>
      </c>
      <c r="H14" s="1146">
        <f>SUBTOTAL(9,H9:H13)</f>
        <v>164</v>
      </c>
      <c r="I14" s="1147">
        <f>IF(ISNUMBER(H14/B14),H14/B14," - ")</f>
        <v>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96</v>
      </c>
      <c r="E17" s="452">
        <f t="shared" si="3"/>
        <v>32</v>
      </c>
      <c r="F17" s="451">
        <f>IF(ISNUMBER(Datos!N17),Datos!N17," - ")</f>
        <v>191</v>
      </c>
      <c r="G17" s="452">
        <f t="shared" si="4"/>
        <v>63.666666666666664</v>
      </c>
      <c r="H17" s="451">
        <f>IF(ISNUMBER(Datos!O17),Datos!O17," - ")</f>
        <v>3</v>
      </c>
      <c r="I17" s="452">
        <f t="shared" si="5"/>
        <v>1</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109</v>
      </c>
      <c r="E23" s="1147">
        <f t="shared" si="3"/>
        <v>27.25</v>
      </c>
      <c r="F23" s="1146">
        <f>SUBTOTAL(9,F16:F22)</f>
        <v>213</v>
      </c>
      <c r="G23" s="1147">
        <f t="shared" si="4"/>
        <v>53.25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232</v>
      </c>
      <c r="E31" s="1085">
        <f>IF(ISNUMBER(D31/B31),D31/B31," - ")</f>
        <v>77.333333333333329</v>
      </c>
      <c r="F31" s="1084">
        <f>SUBTOTAL(9,F8:F30)</f>
        <v>416</v>
      </c>
      <c r="G31" s="1085">
        <f>IF(ISNUMBER(F31/B31),F31/B31," - ")</f>
        <v>138.66666666666666</v>
      </c>
      <c r="H31" s="1084">
        <f>SUBTOTAL(9,H8:H30)</f>
        <v>167</v>
      </c>
      <c r="I31" s="1085">
        <f>IF(ISNUMBER(H31/B31),H31/B31," - ")</f>
        <v>55.666666666666664</v>
      </c>
    </row>
    <row r="34" spans="1:1">
      <c r="A34" s="439" t="str">
        <f>Criterios!A4</f>
        <v>Fecha Informe: 05 may. 2023</v>
      </c>
    </row>
    <row r="39" spans="1:1">
      <c r="A39" s="462"/>
    </row>
  </sheetData>
  <sheetProtection algorithmName="SHA-512" hashValue="ahlsmUqlOGa6hnsX204wgR0EVEodS4pX7qAxz+tve2Rc/3i6pQVmk7qSLQeU5/udbJ2BtdGjt0GHrhHsqzuR7A==" saltValue="lSgRLRibu2+PF1Z/4Yoe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MAO-MAHON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v>
      </c>
      <c r="C12" s="489">
        <f>IF(ISNUMBER(Datos!Q12),Datos!Q12," - ")</f>
        <v>96</v>
      </c>
      <c r="D12" s="456">
        <f>IF(ISNUMBER(Datos!R12),Datos!R12," - ")</f>
        <v>1988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v>
      </c>
      <c r="C14" s="1150">
        <f>SUBTOTAL(9,C9:C13)</f>
        <v>96</v>
      </c>
      <c r="D14" s="1148">
        <f>SUBTOTAL(9,D9:D13)</f>
        <v>1991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8</v>
      </c>
      <c r="D17" s="456">
        <f>IF(ISNUMBER(Datos!R17),Datos!R17," - ")</f>
        <v>69</v>
      </c>
    </row>
    <row r="18" spans="1:4">
      <c r="A18" s="450" t="str">
        <f>Datos!A18</f>
        <v>Jdos. Violencia contra la mujer</v>
      </c>
      <c r="B18" s="488">
        <f>IF(ISNUMBER(Datos!P18),Datos!P18," - ")</f>
        <v>5</v>
      </c>
      <c r="C18" s="489">
        <f>IF(ISNUMBER(Datos!Q18),Datos!Q18," - ")</f>
        <v>4</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12</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v>
      </c>
      <c r="C31" s="1089">
        <f>SUBTOTAL(9,C8:C30)</f>
        <v>108</v>
      </c>
      <c r="D31" s="1090">
        <f>SUBTOTAL(9,D8:D30)</f>
        <v>2061</v>
      </c>
    </row>
    <row r="32" spans="1:4" ht="7.5" customHeight="1"/>
    <row r="33" spans="1:1" ht="6" customHeight="1"/>
    <row r="34" spans="1:1">
      <c r="A34" s="439" t="str">
        <f>Criterios!A4</f>
        <v>Fecha Informe: 05 may. 2023</v>
      </c>
    </row>
    <row r="39" spans="1:1">
      <c r="A39" s="462"/>
    </row>
  </sheetData>
  <sheetProtection algorithmName="SHA-512" hashValue="M9ao3UriYp7302h9hjoXdb1zYe3uzUELfPpMkql48Xw+4Zap0mCw7hnpZa3yJ8sm0YaJC1B0xdrs/bWobPOp1A==" saltValue="pYZ5WOI0A9aM8S/Kk0lo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MAO-MAHON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0.1111111111111111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0.39224137931034481</v>
      </c>
      <c r="C12" s="515">
        <f>IF(ISNUMBER(
   IF(J_V="SI",(Datos!J12-Datos!T12)/Datos!T12,(Datos!J12+Datos!Z12-(Datos!T12+Datos!AH12))/(Datos!T12+Datos!AH12))
     ),IF(J_V="SI",(Datos!J12-Datos!T12)/Datos!T12,(Datos!J12+Datos!Z12-(Datos!T12+Datos!AH12))/(Datos!T12+Datos!AH12))," - ")</f>
        <v>0.21123595505617979</v>
      </c>
      <c r="D12" s="515">
        <f>IF(ISNUMBER(
   IF(J_V="SI",(Datos!K12-Datos!U12)/Datos!U12,(Datos!K12+Datos!AA12-(Datos!U12+Datos!AI12))/(Datos!U12+Datos!AI12))
     ),IF(J_V="SI",(Datos!K12-Datos!U12)/Datos!U12,(Datos!K12+Datos!AA12-(Datos!U12+Datos!AI12))/(Datos!U12+Datos!AI12))," - ")</f>
        <v>-7.7087794432548179E-2</v>
      </c>
      <c r="E12" s="515">
        <f>IF(ISNUMBER(
   IF(J_V="SI",(Datos!L12-Datos!V12)/Datos!V12,(Datos!L12+Datos!AB12-(Datos!V12+Datos!AJ12))/(Datos!V12+Datos!AJ12))
     ),IF(J_V="SI",(Datos!L12-Datos!V12)/Datos!V12,(Datos!L12+Datos!AB12-(Datos!V12+Datos!AJ12))/(Datos!V12+Datos!AJ12))," - ")</f>
        <v>0.7416058394160584</v>
      </c>
      <c r="F12" s="515">
        <f>IF(ISNUMBER((Datos!M12-Datos!W12)/Datos!W12),(Datos!M12-Datos!W12)/Datos!W12," - ")</f>
        <v>-0.13970588235294118</v>
      </c>
      <c r="G12" s="516">
        <f>IF(ISNUMBER((Datos!N12-Datos!X12)/Datos!X12),(Datos!N12-Datos!X12)/Datos!X12," - ")</f>
        <v>0.12154696132596685</v>
      </c>
      <c r="H12" s="514">
        <f>IF(ISNUMBER(((NºAsuntos!G12/NºAsuntos!E12)-Datos!BD12)/Datos!BD12),((NºAsuntos!G12/NºAsuntos!E12)-Datos!BD12)/Datos!BD12," - ")</f>
        <v>-0.23804094345544341</v>
      </c>
      <c r="I12" s="515">
        <f>IF(ISNUMBER(((NºAsuntos!I12/NºAsuntos!G12)-Datos!BE12)/Datos!BE12),((NºAsuntos!I12/NºAsuntos!G12)-Datos!BE12)/Datos!BE12," - ")</f>
        <v>0.887076396768676</v>
      </c>
      <c r="J12" s="521">
        <f>IF(ISNUMBER((('Resol  Asuntos'!D12/NºAsuntos!G12)-Datos!BF12)/Datos!BF12),(('Resol  Asuntos'!D12/NºAsuntos!G12)-Datos!BF12)/Datos!BF12," - ")</f>
        <v>-0.29959877453179679</v>
      </c>
      <c r="K12" s="522">
        <f>IF(ISNUMBER((((NºAsuntos!C12+NºAsuntos!E12)/NºAsuntos!G12)-Datos!BG12)/Datos!BG12),(((NºAsuntos!C12+NºAsuntos!E12)/NºAsuntos!G12)-Datos!BG12)/Datos!BG12," - ")</f>
        <v>0.43204052292632156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0.40086206896551724</v>
      </c>
      <c r="C14" s="1152">
        <f>IF(ISNUMBER(
   IF(J_V="SI",(Datos!J14-Datos!T14)/Datos!T14,(Datos!J14+Datos!Z14-(Datos!T14+Datos!AH14))/(Datos!T14+Datos!AH14))
     ),IF(J_V="SI",(Datos!J14-Datos!T14)/Datos!T14,(Datos!J14+Datos!Z14-(Datos!T14+Datos!AH14))/(Datos!T14+Datos!AH14))," - ")</f>
        <v>0.20925110132158589</v>
      </c>
      <c r="D14" s="1152">
        <f>IF(ISNUMBER(
   IF(J_V="SI",(Datos!K14-Datos!U14)/Datos!U14,(Datos!K14+Datos!AA14-(Datos!U14+Datos!AI14))/(Datos!U14+Datos!AI14))
     ),IF(J_V="SI",(Datos!K14-Datos!U14)/Datos!U14,(Datos!K14+Datos!AA14-(Datos!U14+Datos!AI14))/(Datos!U14+Datos!AI14))," - ")</f>
        <v>-6.2098501070663809E-2</v>
      </c>
      <c r="E14" s="1152">
        <f>IF(ISNUMBER(
   IF(J_V="SI",(Datos!L14-Datos!V14)/Datos!V14,(Datos!L14+Datos!AB14-(Datos!V14+Datos!AJ14))/(Datos!V14+Datos!AJ14))
     ),IF(J_V="SI",(Datos!L14-Datos!V14)/Datos!V14,(Datos!L14+Datos!AB14-(Datos!V14+Datos!AJ14))/(Datos!V14+Datos!AJ14))," - ")</f>
        <v>0.73198847262247835</v>
      </c>
      <c r="F14" s="1153">
        <f>IF(ISNUMBER((Datos!M14-Datos!W14)/Datos!W14),(Datos!M14-Datos!W14)/Datos!W14," - ")</f>
        <v>-9.5588235294117641E-2</v>
      </c>
      <c r="G14" s="1154">
        <f>IF(ISNUMBER((Datos!N14-Datos!X14)/Datos!X14),(Datos!N14-Datos!X14)/Datos!X14," - ")</f>
        <v>0.12154696132596685</v>
      </c>
      <c r="H14" s="1154">
        <f>IF(ISNUMBER(((NºAsuntos!G14/NºAsuntos!E14)-Datos!BD14)/Datos!BD14),((NºAsuntos!G14/NºAsuntos!E14)-Datos!BD14)/Datos!BD14," - ")</f>
        <v>-0.22439475316226107</v>
      </c>
      <c r="I14" s="1154">
        <f>IF(ISNUMBER(((NºAsuntos!I14/NºAsuntos!G14)-Datos!BE14)/Datos!BE14),((NºAsuntos!I14/NºAsuntos!G14)-Datos!BE14)/Datos!BE14," - ")</f>
        <v>0.84666350848104444</v>
      </c>
      <c r="J14" s="1154">
        <f>IF(ISNUMBER((('Resol  Asuntos'!D14/NºAsuntos!G14)-Datos!BF14)/Datos!BF14),(('Resol  Asuntos'!D14/NºAsuntos!G14)-Datos!BF14)/Datos!BF14," - ")</f>
        <v>-0.27544842200862779</v>
      </c>
      <c r="K14" s="1154">
        <f>IF(ISNUMBER((((NºAsuntos!C14+NºAsuntos!E14)/NºAsuntos!G14)-Datos!BG14)/Datos!BG14),(((NºAsuntos!C14+NºAsuntos!E14)/NºAsuntos!G14)-Datos!BG14)/Datos!BG14," - ")</f>
        <v>0.41296009529481842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0.32432432432432434</v>
      </c>
      <c r="C17" s="515">
        <f>IF(ISNUMBER(
   IF(D_I="SI",(Datos!J17-Datos!T17)/Datos!T17,(Datos!J17+Datos!AD17-(Datos!T17+Datos!AL17))/(Datos!T17+Datos!AL17))
     ),IF(D_I="SI",(Datos!J17-Datos!T17)/Datos!T17,(Datos!J17+Datos!AD17-(Datos!T17+Datos!AL17))/(Datos!T17+Datos!AL17))," - ")</f>
        <v>0.23353293413173654</v>
      </c>
      <c r="D17" s="515">
        <f>IF(ISNUMBER(
   IF(D_I="SI",(Datos!K17-Datos!U17)/Datos!U17,(Datos!K17+Datos!AE17-(Datos!U17+Datos!AM17))/(Datos!U17+Datos!AM17))
     ),IF(D_I="SI",(Datos!K17-Datos!U17)/Datos!U17,(Datos!K17+Datos!AE17-(Datos!U17+Datos!AM17))/(Datos!U17+Datos!AM17))," - ")</f>
        <v>0.14912280701754385</v>
      </c>
      <c r="E17" s="515">
        <f>IF(ISNUMBER(
   IF(D_I="SI",(Datos!L17-Datos!V17)/Datos!V17,(Datos!L17+Datos!AF17-(Datos!V17+Datos!AN17))/(Datos!V17+Datos!AN17))
     ),IF(D_I="SI",(Datos!L17-Datos!V17)/Datos!V17,(Datos!L17+Datos!AF17-(Datos!V17+Datos!AN17))/(Datos!V17+Datos!AN17))," - ")</f>
        <v>0.4351145038167939</v>
      </c>
      <c r="F17" s="515">
        <f>IF(ISNUMBER((Datos!M17-Datos!W17)/Datos!W17),(Datos!M17-Datos!W17)/Datos!W17," - ")</f>
        <v>0.11627906976744186</v>
      </c>
      <c r="G17" s="516">
        <f>IF(ISNUMBER((Datos!N17-Datos!X17)/Datos!X17),(Datos!N17-Datos!X17)/Datos!X17," - ")</f>
        <v>5.263157894736842E-3</v>
      </c>
      <c r="H17" s="514">
        <f>IF(ISNUMBER(((NºAsuntos!G17/NºAsuntos!E17)-Datos!BD17)/Datos!BD17),((NºAsuntos!G17/NºAsuntos!E17)-Datos!BD17)/Datos!BD17," - ")</f>
        <v>-6.8429569068301777E-2</v>
      </c>
      <c r="I17" s="515">
        <f>IF(ISNUMBER(((NºAsuntos!I17/NºAsuntos!G17)-Datos!BE17)/Datos!BE17),((NºAsuntos!I17/NºAsuntos!G17)-Datos!BE17)/Datos!BE17," - ")</f>
        <v>0.24887827049705721</v>
      </c>
      <c r="J17" s="521">
        <f>IF(ISNUMBER((('Resol  Asuntos'!D17/NºAsuntos!G17)-Datos!BF17)/Datos!BF17),(('Resol  Asuntos'!D17/NºAsuntos!G17)-Datos!BF17)/Datos!BF17," - ")</f>
        <v>-2.8581572874134549E-2</v>
      </c>
      <c r="K17" s="522">
        <f>IF(ISNUMBER((((NºAsuntos!C17+NºAsuntos!E17)/NºAsuntos!G17)-Datos!BG17)/Datos!BG17),(((NºAsuntos!C17+NºAsuntos!E17)/NºAsuntos!G17)-Datos!BG17)/Datos!BG17," - ")</f>
        <v>0.11685261303581919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-0.47826086956521741</v>
      </c>
      <c r="C18" s="515">
        <f>IF(ISNUMBER(
   IF(D_I="SI",(Datos!J18-Datos!T18)/Datos!T18,(Datos!J18+Datos!AD18-(Datos!T18+Datos!AL18))/(Datos!T18+Datos!AL18))
     ),IF(D_I="SI",(Datos!J18-Datos!T18)/Datos!T18,(Datos!J18+Datos!AD18-(Datos!T18+Datos!AL18))/(Datos!T18+Datos!AL18))," - ")</f>
        <v>0.19444444444444445</v>
      </c>
      <c r="D18" s="515">
        <f>IF(ISNUMBER(
   IF(D_I="SI",(Datos!K18-Datos!U18)/Datos!U18,(Datos!K18+Datos!AE18-(Datos!U18+Datos!AM18))/(Datos!U18+Datos!AM18))
     ),IF(D_I="SI",(Datos!K18-Datos!U18)/Datos!U18,(Datos!K18+Datos!AE18-(Datos!U18+Datos!AM18))/(Datos!U18+Datos!AM18))," - ")</f>
        <v>0.4642857142857143</v>
      </c>
      <c r="E18" s="515">
        <f>IF(ISNUMBER(
   IF(D_I="SI",(Datos!L18-Datos!V18)/Datos!V18,(Datos!L18+Datos!AF18-(Datos!V18+Datos!AN18))/(Datos!V18+Datos!AN18))
     ),IF(D_I="SI",(Datos!L18-Datos!V18)/Datos!V18,(Datos!L18+Datos!AF18-(Datos!V18+Datos!AN18))/(Datos!V18+Datos!AN18))," - ")</f>
        <v>-0.50649350649350644</v>
      </c>
      <c r="F18" s="515">
        <f>IF(ISNUMBER((Datos!M18-Datos!W18)/Datos!W18),(Datos!M18-Datos!W18)/Datos!W18," - ")</f>
        <v>3.3333333333333335</v>
      </c>
      <c r="G18" s="516">
        <f>IF(ISNUMBER((Datos!N18-Datos!X18)/Datos!X18),(Datos!N18-Datos!X18)/Datos!X18," - ")</f>
        <v>-0.15384615384615385</v>
      </c>
      <c r="H18" s="514">
        <f>IF(ISNUMBER(((NºAsuntos!G18/NºAsuntos!E18)-Datos!BD18)/Datos!BD18),((NºAsuntos!G18/NºAsuntos!E18)-Datos!BD18)/Datos!BD18," - ")</f>
        <v>0.22591362126245848</v>
      </c>
      <c r="I18" s="515">
        <f>IF(ISNUMBER(((NºAsuntos!I18/NºAsuntos!G18)-Datos!BE18)/Datos!BE18),((NºAsuntos!I18/NºAsuntos!G18)-Datos!BE18)/Datos!BE18," - ")</f>
        <v>-0.66297117516629711</v>
      </c>
      <c r="J18" s="521">
        <f>IF(ISNUMBER((('Resol  Asuntos'!D18/NºAsuntos!G18)-Datos!BF18)/Datos!BF18),(('Resol  Asuntos'!D18/NºAsuntos!G18)-Datos!BF18)/Datos!BF18," - ")</f>
        <v>1.9593495934959351</v>
      </c>
      <c r="K18" s="522">
        <f>IF(ISNUMBER((((NºAsuntos!C18+NºAsuntos!E18)/NºAsuntos!G18)-Datos!BG18)/Datos!BG18),(((NºAsuntos!C18+NºAsuntos!E18)/NºAsuntos!G18)-Datos!BG18)/Datos!BG18," - ")</f>
        <v>-0.48617886178861791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0.20798319327731093</v>
      </c>
      <c r="C23" s="1152">
        <f>IF(ISNUMBER(
   IF(Criterios!B14="SI",(Datos!J23-Datos!T23)/Datos!T23,(Datos!J23+Datos!AD23-(Datos!T23+Datos!AL23))/(Datos!T23+Datos!AL23))
     ),IF(Criterios!B14="SI",(Datos!J23-Datos!T23)/Datos!T23,(Datos!J23+Datos!AD23-(Datos!T23+Datos!AL23))/(Datos!T23+Datos!AL23))," - ")</f>
        <v>0.22972972972972974</v>
      </c>
      <c r="D23" s="1152">
        <f>IF(ISNUMBER(
   IF(Criterios!B14="SI",(Datos!K23-Datos!U23)/Datos!U23,(Datos!K23+Datos!AE23-(Datos!U23+Datos!AM23))/(Datos!U23+Datos!AM23))
     ),IF(Criterios!B14="SI",(Datos!K23-Datos!U23)/Datos!U23,(Datos!K23+Datos!AE23-(Datos!U23+Datos!AM23))/(Datos!U23+Datos!AM23))," - ")</f>
        <v>0.17297297297297298</v>
      </c>
      <c r="E23" s="1152">
        <f>IF(ISNUMBER(
   IF(Criterios!B14="SI",(Datos!L23-Datos!V23)/Datos!V23,(Datos!L23+Datos!AF23-(Datos!V23+Datos!AN23))/(Datos!V23+Datos!AN23))
     ),IF(Criterios!B14="SI",(Datos!L23-Datos!V23)/Datos!V23,(Datos!L23+Datos!AF23-(Datos!V23+Datos!AN23))/(Datos!V23+Datos!AN23))," - ")</f>
        <v>0.28085106382978725</v>
      </c>
      <c r="F23" s="1153">
        <f>IF(ISNUMBER((Datos!M23-Datos!W23)/Datos!W23),(Datos!M23-Datos!W23)/Datos!W23," - ")</f>
        <v>0.2247191011235955</v>
      </c>
      <c r="G23" s="1154">
        <f>IF(ISNUMBER((Datos!N23-Datos!X23)/Datos!X23),(Datos!N23-Datos!X23)/Datos!X23," - ")</f>
        <v>-1.3888888888888888E-2</v>
      </c>
      <c r="H23" s="1154">
        <f>IF(ISNUMBER(((NºAsuntos!G23/NºAsuntos!E23)-Datos!BD23)/Datos!BD23),((NºAsuntos!G23/NºAsuntos!E23)-Datos!BD23)/Datos!BD23," - ")</f>
        <v>-4.6153846153846101E-2</v>
      </c>
      <c r="I23" s="1154">
        <f>IF(ISNUMBER(((NºAsuntos!I23/NºAsuntos!G23)-Datos!BE23)/Datos!BE23),((NºAsuntos!I23/NºAsuntos!G23)-Datos!BE23)/Datos!BE23," - ")</f>
        <v>9.1969800960878673E-2</v>
      </c>
      <c r="J23" s="1154">
        <f>IF(ISNUMBER((('Resol  Asuntos'!D23/NºAsuntos!G23)-Datos!BF23)/Datos!BF23),(('Resol  Asuntos'!D23/NºAsuntos!G23)-Datos!BF23)/Datos!BF23," - ")</f>
        <v>4.4115362709056111E-2</v>
      </c>
      <c r="K23" s="1154">
        <f>IF(ISNUMBER((((NºAsuntos!C23+NºAsuntos!E23)/NºAsuntos!G23)-Datos!BG23)/Datos!BG23),(((NºAsuntos!C23+NºAsuntos!E23)/NºAsuntos!G23)-Datos!BG23)/Datos!BG23," - ")</f>
        <v>3.7955790872743457E-2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0.3225255972696246</v>
      </c>
      <c r="C31" s="1092">
        <f>IF(ISNUMBER(
   IF(J_V="SI",(Datos!J31-Datos!T31)/Datos!T31,(Datos!J31+Datos!Z31-(Datos!T31+Datos!AH31))/(Datos!T31+Datos!AH31))
     ),IF(J_V="SI",(Datos!J31-Datos!T31)/Datos!T31,(Datos!J31+Datos!Z31-(Datos!T31+Datos!AH31))/(Datos!T31+Datos!AH31))," - ")</f>
        <v>0.21844660194174756</v>
      </c>
      <c r="D31" s="1092">
        <f>IF(ISNUMBER(
   IF(J_V="SI",(Datos!K31-Datos!U31)/Datos!U31,(Datos!K31+Datos!AA31-(Datos!U31+Datos!AI31))/(Datos!U31+Datos!AI31))
     ),IF(J_V="SI",(Datos!K31-Datos!U31)/Datos!U31,(Datos!K31+Datos!AA31-(Datos!U31+Datos!AI31))/(Datos!U31+Datos!AI31))," - ")</f>
        <v>4.1816009557945039E-2</v>
      </c>
      <c r="E31" s="1092">
        <f>IF(ISNUMBER(
   IF(J_V="SI",(Datos!L31-Datos!V31)/Datos!V31,(Datos!L31+Datos!AB31-(Datos!V31+Datos!AJ31))/(Datos!V31+Datos!AJ31))
     ),IF(J_V="SI",(Datos!L31-Datos!V31)/Datos!V31,(Datos!L31+Datos!AB31-(Datos!V31+Datos!AJ31))/(Datos!V31+Datos!AJ31))," - ")</f>
        <v>0.54982817869415812</v>
      </c>
      <c r="F31" s="1093">
        <f>IF(ISNUMBER((Datos!M31-Datos!W31)/Datos!W31),(Datos!M31-Datos!W31)/Datos!W31," - ")</f>
        <v>3.111111111111111E-2</v>
      </c>
      <c r="G31" s="1094">
        <f>IF(ISNUMBER((Datos!N31-Datos!X31)/Datos!X31),(Datos!N31-Datos!X31)/Datos!X31," - ")</f>
        <v>4.7858942065491183E-2</v>
      </c>
      <c r="H31" s="1095">
        <f>IF(ISNUMBER((Tasas!B31-Datos!BD31)/Datos!BD31),(Tasas!B31-Datos!BD31)/Datos!BD31," - ")</f>
        <v>-0.14496375311180601</v>
      </c>
      <c r="I31" s="1096">
        <f>IF(ISNUMBER((Tasas!C31-Datos!BE31)/Datos!BE31),(Tasas!C31-Datos!BE31)/Datos!BE31," - ")</f>
        <v>0.4876217724392321</v>
      </c>
      <c r="J31" s="1097">
        <f>IF(ISNUMBER((Tasas!D31-Datos!BF31)/Datos!BF31),(Tasas!D31-Datos!BF31)/Datos!BF31," - ")</f>
        <v>-0.17522935779816506</v>
      </c>
      <c r="K31" s="1097">
        <f>IF(ISNUMBER((Tasas!E31-Datos!BG31)/Datos!BG31),(Tasas!E31-Datos!BG31)/Datos!BG31," - ")</f>
        <v>0.2282006673898255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68w9j/bi+AGTGEzGFMdf7vHgLbZNHBtTSGd5lRmJeSx+yBNHDi/QY2GvGSWoRFADGA07w1YYCaYp8hgvZg+Ig==" saltValue="r/zbfrC+i73cwbTg63bGd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MAO-MAHON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v>
      </c>
      <c r="C10" s="498">
        <f>IF(ISNUMBER(NºAsuntos!I10/NºAsuntos!G10),NºAsuntos!I10/NºAsuntos!G10," - ")</f>
        <v>1.2857142857142858</v>
      </c>
      <c r="D10" s="499">
        <f>IF(ISNUMBER('Resol  Asuntos'!D10/NºAsuntos!G10),'Resol  Asuntos'!D10/NºAsuntos!G10," - ")</f>
        <v>0.8571428571428571</v>
      </c>
      <c r="E10" s="500">
        <f>IF(ISNUMBER((NºAsuntos!C10+NºAsuntos!E10)/NºAsuntos!G10),(NºAsuntos!C10+NºAsuntos!E10)/NºAsuntos!G10," - ")</f>
        <v>2.2857142857142856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0.79962894248608529</v>
      </c>
      <c r="C12" s="498">
        <f>IF(ISNUMBER(NºAsuntos!I12/NºAsuntos!G12),NºAsuntos!I12/NºAsuntos!G12," - ")</f>
        <v>2.7679814385150814</v>
      </c>
      <c r="D12" s="499">
        <f>IF(ISNUMBER('Resol  Asuntos'!D12/NºAsuntos!G12),'Resol  Asuntos'!D12/NºAsuntos!G12," - ")</f>
        <v>0.27146171693735499</v>
      </c>
      <c r="E12" s="500">
        <f>IF(ISNUMBER((NºAsuntos!C12+NºAsuntos!E12)/NºAsuntos!G12),(NºAsuntos!C12+NºAsuntos!E12)/NºAsuntos!G12," - ")</f>
        <v>3.4988399071925755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0.79781420765027322</v>
      </c>
      <c r="C14" s="1156">
        <f>IF(ISNUMBER(NºAsuntos!I14/NºAsuntos!G14),NºAsuntos!I14/NºAsuntos!G14," - ")</f>
        <v>2.7442922374429224</v>
      </c>
      <c r="D14" s="1157">
        <f>IF(ISNUMBER('Resol  Asuntos'!D14/NºAsuntos!G14),'Resol  Asuntos'!D14/NºAsuntos!G14," - ")</f>
        <v>0.28082191780821919</v>
      </c>
      <c r="E14" s="1158">
        <f>IF(ISNUMBER((NºAsuntos!C14+NºAsuntos!E14)/NºAsuntos!G14),(NºAsuntos!C14+NºAsuntos!E14)/NºAsuntos!G14," - ")</f>
        <v>3.4794520547945207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0.95388349514563109</v>
      </c>
      <c r="C17" s="498">
        <f>IF(ISNUMBER(NºAsuntos!I17/NºAsuntos!G17),NºAsuntos!I17/NºAsuntos!G17," - ")</f>
        <v>1.4351145038167938</v>
      </c>
      <c r="D17" s="499">
        <f>IF(ISNUMBER('Resol  Asuntos'!D17/NºAsuntos!G17),'Resol  Asuntos'!D17/NºAsuntos!G17," - ")</f>
        <v>0.24427480916030533</v>
      </c>
      <c r="E17" s="500">
        <f>IF(ISNUMBER((NºAsuntos!C17+NºAsuntos!E17)/NºAsuntos!G17),(NºAsuntos!C17+NºAsuntos!E17)/NºAsuntos!G17," - ")</f>
        <v>2.4198473282442747</v>
      </c>
      <c r="G17" s="523"/>
    </row>
    <row r="18" spans="1:7">
      <c r="A18" s="450" t="str">
        <f>Datos!A18</f>
        <v>Jdos. Violencia contra la mujer</v>
      </c>
      <c r="B18" s="497">
        <f>IF(ISNUMBER(NºAsuntos!G18/NºAsuntos!E18),NºAsuntos!G18/NºAsuntos!E18," - ")</f>
        <v>0.95348837209302328</v>
      </c>
      <c r="C18" s="498">
        <f>IF(ISNUMBER(NºAsuntos!I18/NºAsuntos!G18),NºAsuntos!I18/NºAsuntos!G18," - ")</f>
        <v>0.92682926829268297</v>
      </c>
      <c r="D18" s="499">
        <f>IF(ISNUMBER('Resol  Asuntos'!D18/NºAsuntos!G18),'Resol  Asuntos'!D18/NºAsuntos!G18," - ")</f>
        <v>0.31707317073170732</v>
      </c>
      <c r="E18" s="500">
        <f>IF(ISNUMBER((NºAsuntos!C18+NºAsuntos!E18)/NºAsuntos!G18),(NºAsuntos!C18+NºAsuntos!E18)/NºAsuntos!G18," - ")</f>
        <v>1.9268292682926829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0.9538461538461539</v>
      </c>
      <c r="C23" s="1156">
        <f>IF(ISNUMBER(NºAsuntos!I23/NºAsuntos!G23),NºAsuntos!I23/NºAsuntos!G23," - ")</f>
        <v>1.3870967741935485</v>
      </c>
      <c r="D23" s="1159">
        <f>IF(ISNUMBER('Resol  Asuntos'!D23/NºAsuntos!G23),'Resol  Asuntos'!D23/NºAsuntos!G23," - ")</f>
        <v>0.25115207373271892</v>
      </c>
      <c r="E23" s="1158">
        <f>IF(ISNUMBER((NºAsuntos!C23+NºAsuntos!E23)/NºAsuntos!G23),(NºAsuntos!C23+NºAsuntos!E23)/NºAsuntos!G23," - ")</f>
        <v>2.3732718894009217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0.86852589641434264</v>
      </c>
      <c r="C31" s="1099">
        <f>IF(ISNUMBER(NºAsuntos!I31/NºAsuntos!G31),NºAsuntos!I31/NºAsuntos!G31," - ")</f>
        <v>2.0688073394495414</v>
      </c>
      <c r="D31" s="1100">
        <f>IF(ISNUMBER('Resol  Asuntos'!D31/NºAsuntos!G31),'Resol  Asuntos'!D31/NºAsuntos!G31," - ")</f>
        <v>0.26605504587155965</v>
      </c>
      <c r="E31" s="1101">
        <f>IF(ISNUMBER((NºAsuntos!C31+NºAsuntos!E31)/NºAsuntos!G31),(NºAsuntos!C31+NºAsuntos!E31)/NºAsuntos!G31," - ")</f>
        <v>2.9288990825688073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ETbqpRe5y49+48YwxSeo83tACnuwB4Iel1VqwlEy+kSBFmLA3vlLFe+TUqHBgRCdMqZkZV0p4rwIRKb2fPmAg==" saltValue="pyrLHIAVt8WA2gz9AChRF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MAO-MAHON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9</v>
      </c>
      <c r="AB10" s="374">
        <f>IF(ISNUMBER(Datos!R10),Datos!R10," - ")</f>
        <v>3</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v>
      </c>
      <c r="AM10" s="284">
        <f>IF(ISNUMBER(((NºAsuntos!I10/NºAsuntos!G10)*11)/factor_trimestre),((NºAsuntos!I10/NºAsuntos!G10)*11)/factor_trimestre," - ")</f>
        <v>3.8571428571428577</v>
      </c>
      <c r="AN10" s="267">
        <f>IF(ISNUMBER('Resol  Asuntos'!D10/NºAsuntos!G10),'Resol  Asuntos'!D10/NºAsuntos!G10," - ")</f>
        <v>0.8571428571428571</v>
      </c>
      <c r="AO10" s="268">
        <f>IF(ISNUMBER((NºAsuntos!C10+NºAsuntos!E10)/NºAsuntos!G10),(NºAsuntos!C10+NºAsuntos!E10)/NºAsuntos!G10," - ")</f>
        <v>2.2857142857142856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96</v>
      </c>
      <c r="Y12" s="374">
        <f t="shared" si="0"/>
        <v>96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117</v>
      </c>
      <c r="AJ12" s="243" t="str">
        <f>IF(ISNUMBER(Datos!BW12),Datos!BW12," - ")</f>
        <v xml:space="preserve"> - </v>
      </c>
      <c r="AK12" s="242" t="str">
        <f>IF(ISNUMBER(Datos!BX12),Datos!BX12," - ")</f>
        <v xml:space="preserve"> - </v>
      </c>
      <c r="AL12" s="266">
        <f>IF(ISNUMBER(NºAsuntos!G12/NºAsuntos!E12),NºAsuntos!G12/NºAsuntos!E12," - ")</f>
        <v>0.79962894248608529</v>
      </c>
      <c r="AM12" s="284">
        <f>IF(ISNUMBER(((NºAsuntos!I12/NºAsuntos!G12)*11)/factor_trimestre),((NºAsuntos!I12/NºAsuntos!G12)*11)/factor_trimestre," - ")</f>
        <v>8.3039443155452446</v>
      </c>
      <c r="AN12" s="267">
        <f>IF(ISNUMBER('Resol  Asuntos'!D12/NºAsuntos!G12),'Resol  Asuntos'!D12/NºAsuntos!G12," - ")</f>
        <v>0.27146171693735499</v>
      </c>
      <c r="AO12" s="268">
        <f>IF(ISNUMBER((NºAsuntos!C12+NºAsuntos!E12)/NºAsuntos!G12),(NºAsuntos!C12+NºAsuntos!E12)/NºAsuntos!G12," - ")</f>
        <v>3.4988399071925755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6</v>
      </c>
      <c r="G14" s="1163">
        <f t="shared" si="5"/>
        <v>6</v>
      </c>
      <c r="H14" s="1162">
        <f t="shared" si="5"/>
        <v>0</v>
      </c>
      <c r="I14" s="1164">
        <f t="shared" si="5"/>
        <v>0</v>
      </c>
      <c r="J14" s="1164">
        <f t="shared" si="5"/>
        <v>0</v>
      </c>
      <c r="K14" s="1164">
        <f t="shared" si="5"/>
        <v>0</v>
      </c>
      <c r="L14" s="1164">
        <f t="shared" si="5"/>
        <v>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96</v>
      </c>
      <c r="Y14" s="1165">
        <f t="shared" si="6"/>
        <v>103</v>
      </c>
      <c r="Z14" s="1165">
        <f t="shared" si="6"/>
        <v>0</v>
      </c>
      <c r="AA14" s="1165">
        <f t="shared" si="6"/>
        <v>9</v>
      </c>
      <c r="AB14" s="1165">
        <f t="shared" si="6"/>
        <v>1991</v>
      </c>
      <c r="AC14" s="1165">
        <f t="shared" si="6"/>
        <v>12</v>
      </c>
      <c r="AD14" s="1165">
        <f t="shared" si="6"/>
        <v>0</v>
      </c>
      <c r="AE14" s="1169">
        <f t="shared" si="6"/>
        <v>0</v>
      </c>
      <c r="AF14" s="1162">
        <f t="shared" si="6"/>
        <v>0</v>
      </c>
      <c r="AG14" s="1170">
        <f t="shared" si="6"/>
        <v>0</v>
      </c>
      <c r="AH14" s="1167">
        <f t="shared" si="6"/>
        <v>0</v>
      </c>
      <c r="AI14" s="1162">
        <f t="shared" si="6"/>
        <v>123</v>
      </c>
      <c r="AJ14" s="1164">
        <f t="shared" si="6"/>
        <v>0</v>
      </c>
      <c r="AK14" s="1167">
        <f>SUBTOTAL(9,AK9:AK13)</f>
        <v>0</v>
      </c>
      <c r="AL14" s="1171">
        <f>IF(ISNUMBER(NºAsuntos!G14/NºAsuntos!E14),NºAsuntos!G14/NºAsuntos!E14," - ")</f>
        <v>0.79781420765027322</v>
      </c>
      <c r="AM14" s="1171">
        <f>IF(ISNUMBER(((NºAsuntos!I14/NºAsuntos!G14)*11)/factor_trimestre),((NºAsuntos!I14/NºAsuntos!G14)*11)/factor_trimestre," - ")</f>
        <v>8.2328767123287676</v>
      </c>
      <c r="AN14" s="1172">
        <f>IF(ISNUMBER('Resol  Asuntos'!D14/NºAsuntos!G14),'Resol  Asuntos'!D14/NºAsuntos!G14," - ")</f>
        <v>0.28082191780821919</v>
      </c>
      <c r="AO14" s="1173">
        <f>IF(ISNUMBER((NºAsuntos!C14+NºAsuntos!E14)/NºAsuntos!G14),(NºAsuntos!C14+NºAsuntos!E14)/NºAsuntos!G14," - ")</f>
        <v>3.4794520547945207</v>
      </c>
      <c r="AP14" s="1174" t="str">
        <f t="shared" si="2"/>
        <v xml:space="preserve"> - </v>
      </c>
      <c r="AQ14" s="1174">
        <f>IF(ISNUMBER((H14-W14+K14)/(F14)),(H14-W14+K14)/(F14)," - ")</f>
        <v>-1.1666666666666667</v>
      </c>
      <c r="AR14" s="1175">
        <f>IF(ISNUMBER((Datos!P14-Datos!Q14)/(Datos!R14-Datos!P14+Datos!Q14)),(Datos!P14-Datos!Q14)/(Datos!R14-Datos!P14+Datos!Q14)," - ")</f>
        <v>-4.4999999999999997E-3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545</v>
      </c>
      <c r="G17" s="373">
        <f>IF(ISNUMBER(IF(D_I="SI",Datos!I17,Datos!I17+Datos!AC17)),IF(D_I="SI",Datos!I17,Datos!I17+Datos!AC17)," - ")</f>
        <v>539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393</v>
      </c>
      <c r="X17" s="240">
        <f>IF(ISNUMBER(Datos!Q17),Datos!Q17," - ")</f>
        <v>8</v>
      </c>
      <c r="Y17" s="374">
        <f t="shared" ref="Y17:Y22" si="9">SUM(W17:X17)</f>
        <v>401</v>
      </c>
      <c r="Z17" s="375" t="str">
        <f>IF(ISNUMBER(Datos!CC17),Datos!CC17," - ")</f>
        <v xml:space="preserve"> - </v>
      </c>
      <c r="AA17" s="372">
        <f>IF(ISNUMBER(IF(D_I="SI",Datos!L17,Datos!L17+Datos!AF17)),IF(D_I="SI",Datos!L17,Datos!L17+Datos!AF17)," - ")</f>
        <v>564</v>
      </c>
      <c r="AB17" s="374">
        <f>IF(ISNUMBER(Datos!R17),Datos!R17," - ")</f>
        <v>69</v>
      </c>
      <c r="AC17" s="374">
        <f t="shared" si="8"/>
        <v>633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96</v>
      </c>
      <c r="AJ17" s="245" t="str">
        <f>IF(ISNUMBER(Datos!BW17),Datos!BW17," - ")</f>
        <v xml:space="preserve"> - </v>
      </c>
      <c r="AK17" s="246" t="str">
        <f>IF(ISNUMBER(Datos!BX17),Datos!BX17," - ")</f>
        <v xml:space="preserve"> - </v>
      </c>
      <c r="AL17" s="266">
        <f>IF(ISNUMBER(NºAsuntos!G17/NºAsuntos!E17),NºAsuntos!G17/NºAsuntos!E17," - ")</f>
        <v>0.95388349514563109</v>
      </c>
      <c r="AM17" s="284">
        <f>IF(ISNUMBER(((NºAsuntos!I17/NºAsuntos!G17)*11)/factor_trimestre),((NºAsuntos!I17/NºAsuntos!G17)*11)/factor_trimestre," - ")</f>
        <v>4.3053435114503813</v>
      </c>
      <c r="AN17" s="267">
        <f>IF(ISNUMBER('Resol  Asuntos'!D17/NºAsuntos!G17),'Resol  Asuntos'!D17/NºAsuntos!G17," - ")</f>
        <v>0.24427480916030533</v>
      </c>
      <c r="AO17" s="268">
        <f>IF(ISNUMBER((NºAsuntos!C17+NºAsuntos!E17)/NºAsuntos!G17),(NºAsuntos!C17+NºAsuntos!E17)/NºAsuntos!G17," - ")</f>
        <v>2.4198473282442747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v>
      </c>
      <c r="X18" s="240">
        <f>IF(ISNUMBER(Datos!Q18),Datos!Q18," - ")</f>
        <v>4</v>
      </c>
      <c r="Y18" s="374">
        <f t="shared" si="9"/>
        <v>45</v>
      </c>
      <c r="Z18" s="375" t="str">
        <f>IF(ISNUMBER(Datos!CC18),Datos!CC18," - ")</f>
        <v xml:space="preserve"> - </v>
      </c>
      <c r="AA18" s="372">
        <f>IF(ISNUMBER(Datos!L18),Datos!L18,"-")</f>
        <v>38</v>
      </c>
      <c r="AB18" s="374">
        <f>IF(ISNUMBER(Datos!R18),Datos!R18," - ")</f>
        <v>1</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0.95348837209302328</v>
      </c>
      <c r="AM18" s="284">
        <f>IF(ISNUMBER(((NºAsuntos!I18/NºAsuntos!G18)*11)/factor_trimestre),((NºAsuntos!I18/NºAsuntos!G18)*11)/factor_trimestre," - ")</f>
        <v>2.780487804878049</v>
      </c>
      <c r="AN18" s="267">
        <f>IF(ISNUMBER('Resol  Asuntos'!D18/NºAsuntos!G18),'Resol  Asuntos'!D18/NºAsuntos!G18," - ")</f>
        <v>0.31707317073170732</v>
      </c>
      <c r="AO18" s="268">
        <f>IF(ISNUMBER((NºAsuntos!C18+NºAsuntos!E18)/NºAsuntos!G18),(NºAsuntos!C18+NºAsuntos!E18)/NºAsuntos!G18," - ")</f>
        <v>1.9268292682926829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545</v>
      </c>
      <c r="G23" s="1163">
        <f>SUBTOTAL(9,G16:G22)</f>
        <v>575</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434</v>
      </c>
      <c r="X23" s="1164">
        <f t="shared" si="14"/>
        <v>12</v>
      </c>
      <c r="Y23" s="1165">
        <f t="shared" si="14"/>
        <v>446</v>
      </c>
      <c r="Z23" s="1165">
        <f t="shared" si="14"/>
        <v>0</v>
      </c>
      <c r="AA23" s="1165">
        <f t="shared" si="14"/>
        <v>602</v>
      </c>
      <c r="AB23" s="1165">
        <f t="shared" si="14"/>
        <v>70</v>
      </c>
      <c r="AC23" s="1165">
        <f t="shared" si="14"/>
        <v>672</v>
      </c>
      <c r="AD23" s="1165">
        <f t="shared" si="14"/>
        <v>0</v>
      </c>
      <c r="AE23" s="1169">
        <f t="shared" si="14"/>
        <v>0</v>
      </c>
      <c r="AF23" s="1162">
        <f t="shared" si="14"/>
        <v>0</v>
      </c>
      <c r="AG23" s="1170">
        <f t="shared" si="14"/>
        <v>0</v>
      </c>
      <c r="AH23" s="1167">
        <f t="shared" si="14"/>
        <v>0</v>
      </c>
      <c r="AI23" s="1162">
        <f t="shared" si="14"/>
        <v>109</v>
      </c>
      <c r="AJ23" s="1164">
        <f t="shared" si="14"/>
        <v>0</v>
      </c>
      <c r="AK23" s="1167">
        <f t="shared" si="14"/>
        <v>0</v>
      </c>
      <c r="AL23" s="1171">
        <f>IF(ISNUMBER(NºAsuntos!G23/NºAsuntos!E23),NºAsuntos!G23/NºAsuntos!E23," - ")</f>
        <v>0.9538461538461539</v>
      </c>
      <c r="AM23" s="1171">
        <f>IF(ISNUMBER(((NºAsuntos!I23/NºAsuntos!G23)*11)/factor_trimestre),((NºAsuntos!I23/NºAsuntos!G23)*11)/factor_trimestre," - ")</f>
        <v>4.1612903225806459</v>
      </c>
      <c r="AN23" s="1172">
        <f>IF(ISNUMBER('Resol  Asuntos'!D23/NºAsuntos!G23),'Resol  Asuntos'!D23/NºAsuntos!G23," - ")</f>
        <v>0.25115207373271892</v>
      </c>
      <c r="AO23" s="1173">
        <f>IF(ISNUMBER((NºAsuntos!C23+NºAsuntos!E23)/NºAsuntos!G23),(NºAsuntos!C23+NºAsuntos!E23)/NºAsuntos!G23," - ")</f>
        <v>2.3732718894009217</v>
      </c>
      <c r="AP23" s="1174" t="str">
        <f t="shared" si="2"/>
        <v xml:space="preserve"> - </v>
      </c>
      <c r="AQ23" s="1174">
        <f>IF(ISNUMBER((H23-W23+K23)/(F23)),(H23-W23+K23)/(F23)," - ")</f>
        <v>-0.79633027522935784</v>
      </c>
      <c r="AR23" s="1175">
        <f>IF(ISNUMBER((Datos!P23-Datos!Q23)/(Datos!R23-Datos!P23+Datos!Q23)),(Datos!P23-Datos!Q23)/(Datos!R23-Datos!P23+Datos!Q23)," - ")</f>
        <v>6.0606060606060608E-2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551</v>
      </c>
      <c r="G31" s="1118">
        <f t="shared" si="20"/>
        <v>581</v>
      </c>
      <c r="H31" s="1117">
        <f t="shared" si="20"/>
        <v>0</v>
      </c>
      <c r="I31" s="1119">
        <f t="shared" si="20"/>
        <v>0</v>
      </c>
      <c r="J31" s="1119">
        <f t="shared" si="20"/>
        <v>0</v>
      </c>
      <c r="K31" s="1180">
        <f t="shared" si="20"/>
        <v>0</v>
      </c>
      <c r="L31" s="1119">
        <f t="shared" si="20"/>
        <v>103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441</v>
      </c>
      <c r="X31" s="1118">
        <f t="shared" si="21"/>
        <v>108</v>
      </c>
      <c r="Y31" s="1125">
        <f t="shared" si="21"/>
        <v>549</v>
      </c>
      <c r="Z31" s="1125">
        <f t="shared" si="21"/>
        <v>0</v>
      </c>
      <c r="AA31" s="1125">
        <f t="shared" si="21"/>
        <v>611</v>
      </c>
      <c r="AB31" s="1125">
        <f t="shared" si="21"/>
        <v>2061</v>
      </c>
      <c r="AC31" s="1125">
        <f t="shared" si="21"/>
        <v>684</v>
      </c>
      <c r="AD31" s="1125">
        <f t="shared" si="21"/>
        <v>0</v>
      </c>
      <c r="AE31" s="1127">
        <f t="shared" si="21"/>
        <v>0</v>
      </c>
      <c r="AF31" s="1128">
        <f t="shared" si="21"/>
        <v>0</v>
      </c>
      <c r="AG31" s="1129">
        <f t="shared" si="21"/>
        <v>0</v>
      </c>
      <c r="AH31" s="1127">
        <f t="shared" si="21"/>
        <v>0</v>
      </c>
      <c r="AI31" s="1117">
        <f t="shared" si="21"/>
        <v>232</v>
      </c>
      <c r="AJ31" s="1117">
        <f t="shared" si="21"/>
        <v>0</v>
      </c>
      <c r="AK31" s="1127">
        <f t="shared" si="21"/>
        <v>0</v>
      </c>
      <c r="AL31" s="1183">
        <f>IF(ISNUMBER(NºAsuntos!G31/NºAsuntos!E31),NºAsuntos!G31/NºAsuntos!E31," - ")</f>
        <v>0.86852589641434264</v>
      </c>
      <c r="AM31" s="1184">
        <f>IF(ISNUMBER(((NºAsuntos!I31/NºAsuntos!G31)*11)/factor_trimestre),((NºAsuntos!I31/NºAsuntos!G31)*11)/factor_trimestre," - ")</f>
        <v>6.2064220183486247</v>
      </c>
      <c r="AN31" s="1184">
        <f>IF(ISNUMBER('Resol  Asuntos'!D31/NºAsuntos!G31),'Resol  Asuntos'!D31/NºAsuntos!G31," - ")</f>
        <v>0.26605504587155965</v>
      </c>
      <c r="AO31" s="1185">
        <f>IF(ISNUMBER((NºAsuntos!C31+NºAsuntos!E31)/NºAsuntos!G31),(NºAsuntos!C31+NºAsuntos!E31)/NºAsuntos!G31," - ")</f>
        <v>2.9288990825688073</v>
      </c>
      <c r="AP31" s="1186" t="str">
        <f t="shared" si="2"/>
        <v xml:space="preserve"> - </v>
      </c>
      <c r="AQ31" s="1187">
        <f>IF(OR(ISNUMBER(FIND("01",Criterios!A8,1)),ISNUMBER(FIND("02",Criterios!A8,1)),ISNUMBER(FIND("03",Criterios!A8,1)),ISNUMBER(FIND("04",Criterios!A8,1))),(I31-W31+K31)/(F31-K31),(H31-W31+K31)/(F31-K31))</f>
        <v>-0.80036297640653353</v>
      </c>
      <c r="AR31" s="1188">
        <f>IF(ISNUMBER((Datos!P31-Datos!Q31)/(Datos!R31-Datos!P31+Datos!Q31)),(Datos!P31-Datos!Q31)/(Datos!R31-Datos!P31+Datos!Q31)," - ")</f>
        <v>-2.4201355275895449E-3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279.90045849670679</v>
      </c>
      <c r="G33" s="277">
        <f>IF(ISNUMBER(STDEV(G8:G30)),STDEV(G8:G30),"-")</f>
        <v>267.58861460582858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197.25279888170576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57.579758348125878</v>
      </c>
      <c r="AJ33" s="276">
        <f t="shared" si="25"/>
        <v>0</v>
      </c>
      <c r="AK33" s="278">
        <f t="shared" si="25"/>
        <v>0</v>
      </c>
      <c r="AL33" s="273">
        <f t="shared" si="25"/>
        <v>0.10906211586141362</v>
      </c>
      <c r="AM33" s="274">
        <f t="shared" si="25"/>
        <v>2.3806309242673667</v>
      </c>
      <c r="AN33" s="274">
        <f t="shared" si="25"/>
        <v>0.2398762058593894</v>
      </c>
      <c r="AO33" s="275">
        <f t="shared" si="25"/>
        <v>0.66220447819460082</v>
      </c>
      <c r="AP33" s="317" t="str">
        <f t="shared" si="25"/>
        <v>-</v>
      </c>
      <c r="AQ33" s="318">
        <f t="shared" si="25"/>
        <v>0.26186737370547664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eEAHN2kJAbfHrYlf7WcBssXJRPW5mbWPUoxWG9RAk5ppNZcKcrKlJSvlPKH6kfgaNFeyYSgkzMWc9+nCqY0NA==" saltValue="cWfYBm/RfMtrxNeyDFkK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MAO-MAHON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0.1111111111111111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-0.13970588235294118</v>
      </c>
      <c r="I12" s="395">
        <f>IF(ISNUMBER((Tasas!C12-Datos!BE12)/Datos!BE12),(Tasas!C12-Datos!BE12)/Datos!BE12," - ")</f>
        <v>0.887076396768676</v>
      </c>
      <c r="J12" s="394">
        <f>IF(ISNUMBER((Tasas!D12-Datos!BF12)/Datos!BF12),(Tasas!D12-Datos!BF12)/Datos!BF12," - ")</f>
        <v>-0.29959877453179679</v>
      </c>
      <c r="K12" s="396">
        <f>IF(ISNUMBER((Tasas!E12-Datos!BG12)/Datos!BG12),(Tasas!E12-Datos!BG12)/Datos!BG12," - ")</f>
        <v>0.43204052292632156</v>
      </c>
      <c r="M12" t="e">
        <f>IF(Monitorios="SI",Datos!CE12,0)</f>
        <v>#REF!</v>
      </c>
      <c r="N12" t="e">
        <f>IF(Monitorios="SI",Datos!CF12,0)</f>
        <v>#REF!</v>
      </c>
      <c r="O12" t="e">
        <f>IF(Monitorios="SI",Datos!CG12,0)</f>
        <v>#REF!</v>
      </c>
      <c r="P12" t="e">
        <f>IF(Monitorios="SI",Datos!CH12,0)</f>
        <v>#REF!</v>
      </c>
      <c r="Q12">
        <f>IF(J_V="SI",0,Datos!AG12)</f>
        <v>37</v>
      </c>
      <c r="R12">
        <f>IF(J_V="SI",0,Datos!AH12)</f>
        <v>16</v>
      </c>
      <c r="S12">
        <f>IF(J_V="SI",0,Datos!AI12)</f>
        <v>36</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-9.5588235294117641E-2</v>
      </c>
      <c r="I14" s="402">
        <f>IF(ISNUMBER((Tasas!C14-Datos!BE14)/Datos!BE14),(Tasas!C14-Datos!BE14)/Datos!BE14," - ")</f>
        <v>0.84666350848104444</v>
      </c>
      <c r="J14" s="400">
        <f>IF(ISNUMBER((Tasas!D14-Datos!BF14)/Datos!BF14),(Tasas!D14-Datos!BF14)/Datos!BF14," - ")</f>
        <v>-0.27544842200862779</v>
      </c>
      <c r="K14" s="403">
        <f>IF(ISNUMBER((Tasas!E14-Datos!BG14)/Datos!BG14),(Tasas!E14-Datos!BG14)/Datos!BG14," - ")</f>
        <v>0.41296009529481842</v>
      </c>
      <c r="M14" t="e">
        <f>IF(Monitorios="SI",Datos!CE14,0)</f>
        <v>#REF!</v>
      </c>
      <c r="N14" t="e">
        <f>IF(Monitorios="SI",Datos!CF14,0)</f>
        <v>#REF!</v>
      </c>
      <c r="O14" t="e">
        <f>IF(Monitorios="SI",Datos!CG14,0)</f>
        <v>#REF!</v>
      </c>
      <c r="P14" t="e">
        <f>IF(Monitorios="SI",Datos!CH14,0)</f>
        <v>#REF!</v>
      </c>
      <c r="Q14">
        <f>IF(J_V="SI",0,Datos!AG14)</f>
        <v>37</v>
      </c>
      <c r="R14">
        <f>IF(J_V="SI",0,Datos!AH14)</f>
        <v>16</v>
      </c>
      <c r="S14">
        <f>IF(J_V="SI",0,Datos!AI14)</f>
        <v>36</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0.32432432432432434</v>
      </c>
      <c r="E17" s="393">
        <f>IF(ISNUMBER(
   IF(D_I="SI",(Datos!J17-Datos!T17)/Datos!T17,(Datos!J17+Datos!AD17-(Datos!T17+Datos!AL17))/(Datos!T17+Datos!AL17))
     ),IF(D_I="SI",(Datos!J17-Datos!T17)/Datos!T17,(Datos!J17+Datos!AD17-(Datos!T17+Datos!AL17))/(Datos!T17+Datos!AL17))," - ")</f>
        <v>0.23353293413173654</v>
      </c>
      <c r="F17" s="393">
        <f>IF(ISNUMBER(
   IF(D_I="SI",(Datos!K17-Datos!U17)/Datos!U17,(Datos!K17+Datos!AE17-(Datos!U17+Datos!AM17))/(Datos!U17+Datos!AM17))
     ),IF(D_I="SI",(Datos!K17-Datos!U17)/Datos!U17,(Datos!K17+Datos!AE17-(Datos!U17+Datos!AM17))/(Datos!U17+Datos!AM17))," - ")</f>
        <v>0.14912280701754385</v>
      </c>
      <c r="G17" s="394">
        <f>IF(ISNUMBER(
   IF(D_I="SI",(Datos!L17-Datos!V17)/Datos!V17,(Datos!L17+Datos!AF17-(Datos!V17+Datos!AN17))/(Datos!V17+Datos!AN17))
     ),IF(D_I="SI",(Datos!L17-Datos!V17)/Datos!V17,(Datos!L17+Datos!AF17-(Datos!V17+Datos!AN17))/(Datos!V17+Datos!AN17))," - ")</f>
        <v>0.4351145038167939</v>
      </c>
      <c r="H17" s="244">
        <f>IF(ISNUMBER((Datos!M17-Datos!W17)/Datos!W17),(Datos!M17-Datos!W17)/Datos!W17," - ")</f>
        <v>0.11627906976744186</v>
      </c>
      <c r="I17" s="395">
        <f>IF(ISNUMBER((Tasas!C17-Datos!BE17)/Datos!BE17),(Tasas!C17-Datos!BE17)/Datos!BE17," - ")</f>
        <v>0.24887827049705721</v>
      </c>
      <c r="J17" s="394">
        <f>IF(ISNUMBER((Tasas!D17-Datos!BF17)/Datos!BF17),(Tasas!D17-Datos!BF17)/Datos!BF17," - ")</f>
        <v>-2.8581572874134549E-2</v>
      </c>
      <c r="K17" s="396">
        <f>IF(ISNUMBER((Tasas!E17-Datos!BG17)/Datos!BG17),(Tasas!E17-Datos!BG17)/Datos!BG17," - ")</f>
        <v>0.11685261303581919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-0.47826086956521741</v>
      </c>
      <c r="E18" s="393">
        <f>IF(ISNUMBER(
   IF(D_I="SI",(Datos!J18-Datos!T18)/Datos!T18,(Datos!J18+Datos!AD18-(Datos!T18+Datos!AL18))/(Datos!T18+Datos!AL18))
     ),IF(D_I="SI",(Datos!J18-Datos!T18)/Datos!T18,(Datos!J18+Datos!AD18-(Datos!T18+Datos!AL18))/(Datos!T18+Datos!AL18))," - ")</f>
        <v>0.19444444444444445</v>
      </c>
      <c r="F18" s="393">
        <f>IF(ISNUMBER(
   IF(D_I="SI",(Datos!K18-Datos!U18)/Datos!U18,(Datos!K18+Datos!AE18-(Datos!U18+Datos!AM18))/(Datos!U18+Datos!AM18))
     ),IF(D_I="SI",(Datos!K18-Datos!U18)/Datos!U18,(Datos!K18+Datos!AE18-(Datos!U18+Datos!AM18))/(Datos!U18+Datos!AM18))," - ")</f>
        <v>0.4642857142857143</v>
      </c>
      <c r="G18" s="394">
        <f>IF(ISNUMBER(
   IF(D_I="SI",(Datos!L18-Datos!V18)/Datos!V18,(Datos!L18+Datos!AF18-(Datos!V18+Datos!AN18))/(Datos!V18+Datos!AN18))
     ),IF(D_I="SI",(Datos!L18-Datos!V18)/Datos!V18,(Datos!L18+Datos!AF18-(Datos!V18+Datos!AN18))/(Datos!V18+Datos!AN18))," - ")</f>
        <v>-0.50649350649350644</v>
      </c>
      <c r="H18" s="244">
        <f>IF(ISNUMBER((Datos!M18-Datos!W18)/Datos!W18),(Datos!M18-Datos!W18)/Datos!W18," - ")</f>
        <v>3.3333333333333335</v>
      </c>
      <c r="I18" s="395">
        <f>IF(ISNUMBER((Tasas!C18-Datos!BE18)/Datos!BE18),(Tasas!C18-Datos!BE18)/Datos!BE18," - ")</f>
        <v>-0.66297117516629711</v>
      </c>
      <c r="J18" s="394">
        <f>IF(ISNUMBER((Tasas!D18-Datos!BF18)/Datos!BF18),(Tasas!D18-Datos!BF18)/Datos!BF18," - ")</f>
        <v>1.9593495934959351</v>
      </c>
      <c r="K18" s="396">
        <f>IF(ISNUMBER((Tasas!E18-Datos!BG18)/Datos!BG18),(Tasas!E18-Datos!BG18)/Datos!BG18," - ")</f>
        <v>-0.48617886178861791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0.20798319327731093</v>
      </c>
      <c r="E23" s="399">
        <f>IF(ISNUMBER(
   IF(D_I="SI",(Datos!J23-Datos!T23)/Datos!T23,(Datos!J23+Datos!AD23-(Datos!T23+Datos!AL23))/(Datos!T23+Datos!AL23))
     ),IF(D_I="SI",(Datos!J23-Datos!T23)/Datos!T23,(Datos!J23+Datos!AD23-(Datos!T23+Datos!AL23))/(Datos!T23+Datos!AL23))," - ")</f>
        <v>0.22972972972972974</v>
      </c>
      <c r="F23" s="399">
        <f>IF(ISNUMBER(
   IF(D_I="SI",(Datos!K23-Datos!U23)/Datos!U23,(Datos!K23+Datos!AE23-(Datos!U23+Datos!AM23))/(Datos!U23+Datos!AM23))
     ),IF(D_I="SI",(Datos!K23-Datos!U23)/Datos!U23,(Datos!K23+Datos!AE23-(Datos!U23+Datos!AM23))/(Datos!U23+Datos!AM23))," - ")</f>
        <v>0.17297297297297298</v>
      </c>
      <c r="G23" s="400">
        <f>IF(ISNUMBER(
   IF(D_I="SI",(Datos!L23-Datos!V23)/Datos!V23,(Datos!L23+Datos!AF23-(Datos!V23+Datos!AN23))/(Datos!V23+Datos!AN23))
     ),IF(D_I="SI",(Datos!L23-Datos!V23)/Datos!V23,(Datos!L23+Datos!AF23-(Datos!V23+Datos!AN23))/(Datos!V23+Datos!AN23))," - ")</f>
        <v>0.28085106382978725</v>
      </c>
      <c r="H23" s="401">
        <f>IF(ISNUMBER((Datos!M23-Datos!W23)/Datos!W23),(Datos!M23-Datos!W23)/Datos!W23," - ")</f>
        <v>0.2247191011235955</v>
      </c>
      <c r="I23" s="402">
        <f>IF(ISNUMBER((Tasas!C23-Datos!BE23)/Datos!BE23),(Tasas!C23-Datos!BE23)/Datos!BE23," - ")</f>
        <v>9.1969800960878673E-2</v>
      </c>
      <c r="J23" s="400">
        <f>IF(ISNUMBER((Tasas!D23-Datos!BF23)/Datos!BF23),(Tasas!D23-Datos!BF23)/Datos!BF23," - ")</f>
        <v>4.4115362709056111E-2</v>
      </c>
      <c r="K23" s="403">
        <f>IF(ISNUMBER((Tasas!E23-Datos!BG23)/Datos!BG23),(Tasas!E23-Datos!BG23)/Datos!BG23," - ")</f>
        <v>3.7955790872743457E-2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0.3225255972696246</v>
      </c>
      <c r="E31" s="409">
        <f>IF(ISNUMBER(
   IF(J_V="SI",(Datos!J31-Datos!T31)/Datos!T31,(Datos!J31+Datos!Z31-(Datos!T31+Datos!AH31))/(Datos!T31+Datos!AH31))
     ),IF(J_V="SI",(Datos!J31-Datos!T31)/Datos!T31,(Datos!J31+Datos!Z31-(Datos!T31+Datos!AH31))/(Datos!T31+Datos!AH31))," - ")</f>
        <v>0.21844660194174756</v>
      </c>
      <c r="F31" s="409">
        <f>IF(ISNUMBER(
   IF(J_V="SI",(Datos!K31-Datos!U31)/Datos!U31,(Datos!K31+Datos!AA31-(Datos!U31+Datos!AI31))/(Datos!U31+Datos!AI31))
     ),IF(J_V="SI",(Datos!K31-Datos!U31)/Datos!U31,(Datos!K31+Datos!AA31-(Datos!U31+Datos!AI31))/(Datos!U31+Datos!AI31))," - ")</f>
        <v>4.1816009557945039E-2</v>
      </c>
      <c r="G31" s="410">
        <f>IF(ISNUMBER(
   IF(J_V="SI",(Datos!L31-Datos!V31)/Datos!V31,(Datos!L31+Datos!AB31-(Datos!V31+Datos!AJ31))/(Datos!V31+Datos!AJ31))
     ),IF(J_V="SI",(Datos!L31-Datos!V31)/Datos!V31,(Datos!L31+Datos!AB31-(Datos!V31+Datos!AJ31))/(Datos!V31+Datos!AJ31))," - ")</f>
        <v>0.54982817869415812</v>
      </c>
      <c r="H31" s="411">
        <f>IF(ISNUMBER((Datos!M31-Datos!W31)/Datos!W31),(Datos!M31-Datos!W31)/Datos!W31," - ")</f>
        <v>3.111111111111111E-2</v>
      </c>
      <c r="I31" s="408">
        <f>IF(ISNUMBER((Tasas!C31-Datos!BE31)/Datos!BE31),(Tasas!C31-Datos!BE31)/Datos!BE31," - ")</f>
        <v>0.4876217724392321</v>
      </c>
      <c r="J31" s="409">
        <f>IF(ISNUMBER((Tasas!D31-Datos!BF31)/Datos!BF31),(Tasas!D31-Datos!BF31)/Datos!BF31," - ")</f>
        <v>-0.17522935779816506</v>
      </c>
      <c r="K31" s="410">
        <f>IF(ISNUMBER((Tasas!E31-Datos!BG31)/Datos!BG31),(Tasas!E31-Datos!BG31)/Datos!BG31," - ")</f>
        <v>0.2282006673898255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0.43370673002437787</v>
      </c>
      <c r="E33" s="303">
        <f t="shared" si="1"/>
        <v>5.6854602295788981E-2</v>
      </c>
      <c r="F33" s="303">
        <f t="shared" si="1"/>
        <v>0.17548010418324309</v>
      </c>
      <c r="G33" s="304">
        <f t="shared" si="1"/>
        <v>0.41383087830063153</v>
      </c>
      <c r="H33" s="310">
        <f t="shared" si="1"/>
        <v>1.4864714782516217</v>
      </c>
      <c r="I33" s="302">
        <f t="shared" si="1"/>
        <v>0.63544095877086193</v>
      </c>
      <c r="J33" s="303">
        <f t="shared" si="1"/>
        <v>0.95072825901857971</v>
      </c>
      <c r="K33" s="304">
        <f t="shared" si="1"/>
        <v>0.37279247790094411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RmBlfrqJPmtRQ2v+9SHW/RJg40i0osfZZ2R+zna2CJDrI60vZ+UPfkEQ/uSqEyqdswYrP042L99dPsZqF7BEw==" saltValue="6dgePjnaAo/pYm+6TJW7u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